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'Sheet1'!$A$1:$R$80</definedName>
  </definedNames>
  <calcPr fullCalcOnLoad="1" refMode="R1C1"/>
</workbook>
</file>

<file path=xl/sharedStrings.xml><?xml version="1.0" encoding="utf-8"?>
<sst xmlns="http://schemas.openxmlformats.org/spreadsheetml/2006/main" count="164" uniqueCount="161">
  <si>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</si>
  <si>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</si>
  <si>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</si>
  <si>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</si>
  <si>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</si>
  <si>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</si>
  <si>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</si>
  <si>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8-ми- квартирный жилой дом №29,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</si>
  <si>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</si>
  <si>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</si>
  <si>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</si>
  <si>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</si>
  <si>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</si>
  <si>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</si>
  <si>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</si>
  <si>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</si>
  <si>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</si>
  <si>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</si>
  <si>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</si>
  <si>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</si>
  <si>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</si>
  <si>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</si>
  <si>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</si>
  <si>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</si>
  <si>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</si>
  <si>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</si>
  <si>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</si>
  <si>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</si>
  <si>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</si>
  <si>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</si>
  <si>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</si>
  <si>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</si>
  <si>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</si>
  <si>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</si>
  <si>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</si>
  <si>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</si>
  <si>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</si>
  <si>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</si>
  <si>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</si>
  <si>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>Итого по многоквартирным жилым домам:</t>
  </si>
  <si>
    <t xml:space="preserve">8-ми- квартирный жилой дом №2А, ул.Марьинская </t>
  </si>
  <si>
    <t>8-ми- квартирный жилой дом №27, ул. Красноармейская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</si>
  <si>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</si>
  <si>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</si>
  <si>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</si>
  <si>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</si>
  <si>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</si>
  <si>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Обслуживание фасадных и внутренних газопроводов</t>
  </si>
  <si>
    <r>
      <t>Общая площадь, м</t>
    </r>
    <r>
      <rPr>
        <vertAlign val="superscript"/>
        <sz val="9"/>
        <rFont val="Times New Roman"/>
        <family val="1"/>
      </rPr>
      <t>2</t>
    </r>
  </si>
  <si>
    <t>площадь  газа</t>
  </si>
  <si>
    <t>площадь убир двор</t>
  </si>
  <si>
    <t>Итого по домам без затрат по управлению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</si>
  <si>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</si>
  <si>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</si>
  <si>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</si>
  <si>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</si>
  <si>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>Установка 4-х дверных блоков - 95240р.</t>
  </si>
  <si>
    <t xml:space="preserve">Установка козырьков - 13400р.;                              </t>
  </si>
  <si>
    <t>Установка дверного блока и козырька - 25000р.</t>
  </si>
  <si>
    <t>Установка 2-х дверных блоков - 37387,20р.</t>
  </si>
  <si>
    <t>Установка козырьков - 29080р.;                                       Установка 4-х дверных  блоков - 32000р.;                                  Замена перил - 59500р.</t>
  </si>
  <si>
    <t>**- заработная плата уборщиков мест общего пользования, обязательные отчисления ЕСН,социальные выплаты, спецодежда, инвентарь.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</si>
  <si>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</si>
  <si>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</si>
  <si>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</si>
  <si>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</si>
  <si>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</si>
  <si>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</si>
  <si>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</si>
  <si>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</si>
  <si>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</si>
  <si>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</si>
  <si>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</si>
  <si>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газ оплач в 2012г.</t>
  </si>
  <si>
    <t>Итого по многоквартирным жилым домам п. Кардымово:</t>
  </si>
  <si>
    <t>8-ми квартирный жилой дом № 3 , ул. Магистральная</t>
  </si>
  <si>
    <t>8-ми квартирный жилой дом № 2 , ул. Магистральная</t>
  </si>
  <si>
    <t>8-ми квартирный жилой дом № 4 , ул. Магистральная</t>
  </si>
  <si>
    <t>8-ми квартирный жилой дом № 9 , ул. Магистральная</t>
  </si>
  <si>
    <t>8-ми квартирный жилой дом № 10 , ул. Магистральная</t>
  </si>
  <si>
    <t>8-ми квартирный жилой дом № 4, ул. Садовая</t>
  </si>
  <si>
    <t>8-ми квартирный жилой дом № 1, ул. Садовая</t>
  </si>
  <si>
    <t>8-ми квартирный жилой дом № 5, ул. Садовая</t>
  </si>
  <si>
    <t>8-ми квартирный жилой дом № 1, ул. Школьная</t>
  </si>
  <si>
    <t>8-ми квартирный жилой дом № 3, ул. Школьная</t>
  </si>
  <si>
    <t>8-ми квартирный жилой дом № 16, ул. Центральная</t>
  </si>
  <si>
    <t>8-ми квартирный жилой дом № 14, ул. Центральная</t>
  </si>
  <si>
    <t>16-ти квартирный жилой дом № 6/2, ул. Магистральная</t>
  </si>
  <si>
    <t>18-ти квартирный жилой дом № 7, ул. Магистральная</t>
  </si>
  <si>
    <t>18-ти квартирный жилой дом № 8, ул. Магистральная</t>
  </si>
  <si>
    <t>12-ти квартирный жилой дом № 31 , ул. Льнозаводская</t>
  </si>
  <si>
    <t xml:space="preserve">      </t>
  </si>
  <si>
    <t>18-ти квартирный жилой дом № 14 , ул. Школа-интернат</t>
  </si>
  <si>
    <t>18-ти квартирный жилой дом № 15 , ул. Школа-интернат</t>
  </si>
  <si>
    <t>Всего по МКД, находящимся в управлении: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</si>
  <si>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</si>
  <si>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</si>
  <si>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</si>
  <si>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Кап. ремонт кровли 610 кв.м - 326703р.;                                  Установка 2-х дверных блоков - 26240р.</t>
  </si>
  <si>
    <t>Кап. ремонт кровли 389 кв.м - 184650р.;                                                                   Установка дверного блока - 18693,60р.</t>
  </si>
  <si>
    <t>Кап. 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</si>
  <si>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Кап. ремонт кровли 830 кв.м - 372270р.;                       Установка 3-х дверных блоков - 39000р.</t>
  </si>
  <si>
    <t>Установка железной двери с доводчиком-10900руб. Кап. ремонт кровли 362м² - 227533руб.</t>
  </si>
  <si>
    <t>Установка 3х железных дверей - 45000 руб</t>
  </si>
  <si>
    <t>Установка 2х железных дверей с доводч.- 27400 р.</t>
  </si>
  <si>
    <r>
      <t>Установка 2х железных дверей с доводч.- 27400р. Кап. ремонт кровли 380м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- 194539р.</t>
    </r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</si>
  <si>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</si>
  <si>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каменка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</si>
  <si>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</si>
  <si>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дверного блока - 33350р.                                            Ремонт кровли 350 кв.м - 258270 р.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</si>
  <si>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</si>
  <si>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</si>
  <si>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</si>
  <si>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Выборочный ремонт кровли 30 кв.м - 30100р.;                               Выборочный ремонт кровли 59 кв.м - 38330р                                        Замена 2-х дверных блоков - 28891р.                                   Ремонт кровли 622 кв.м.- 485580р.</t>
  </si>
  <si>
    <t>Установка 4-х дверных блоков - 92600р.                               Ремонт кровли козырьков балконов 3,6кв.м. - 5180р.</t>
  </si>
  <si>
    <t>Ремонт кровли 750 кв.м - 352885р.                                 Установка 3-х дверных блоков - 49800р</t>
  </si>
  <si>
    <t>Установка  4-х дверных блоков - 82100р.;                                               Выборочный ремонт кровли 350 кв.м - 80225р.;                                Ремонт межпанельных стыков 56 п/м - 17900р.                     Кап.ремнт кровли 1360,0м.2. - 1169264руб.</t>
  </si>
  <si>
    <t>Установка железной двери-  15000руб.                                            Замена козырька-  7590руб.                                                     Кап. ремонт кровли 365м² - 186768р.</t>
  </si>
  <si>
    <t xml:space="preserve"> </t>
  </si>
  <si>
    <t>Установка железных дверей - 36500 р.                                   Кап. ремонт кровли - 381189 р.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</si>
  <si>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</si>
  <si>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</si>
  <si>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3-х дверных блоков - 39360р.;                             Кап. ремонт кровли 809 кв.м - 398400р.                                                                         Доработка дверей 3шт -  29700р.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</si>
  <si>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</si>
  <si>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</si>
  <si>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Кап. ремонт кровли 721 кв.м - 311810,49р.;                                          Замена дверного блока - 11400р.;                               Установка окон 3шт. -27291р.</t>
  </si>
  <si>
    <t>Кап. ремонт кровли 750 кв.м - 321000р.;                                  Установка дверного блока - 17000р.                                     Установка окон 3шт. -27291р</t>
  </si>
  <si>
    <t>Кап. ремонт кровли 730 кв.м - 330000р.;                                                                   Установка дверного блока - 17000р.                                       Установка окон 3шт. -27291р</t>
  </si>
  <si>
    <t>Кап. ремонт кровли 740 кв.м - 543200р.                                                                   Установка окон 3шт. -27291р</t>
  </si>
  <si>
    <t>Капитальный ремонт отмостки - 85393р.                                   Кап.ремонт кровли740кв.м. - 688433руб.                                                             Установка окон 3шт. -27291р</t>
  </si>
  <si>
    <t>Выборочный ремонт кровли 150кв.м. -111567руб.                                                Установка окон 1шт. -9097р</t>
  </si>
  <si>
    <t>Установка козырьков - 28000р.;                                              Ремонт крылец 2шт- 40070р.                                      Установка дверных блоков 2шт - 40000р.</t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</si>
  <si>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</si>
  <si>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</si>
  <si>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Кап. ремонт кровли 820 кв.м - 331900р.                             Установка 3-х дверных блоков - 49800р.                                               Замена доводчиков 2шт.- 2000р.</t>
  </si>
  <si>
    <t>Установка 2х железных дверей с доводч.- 27400 р.                                                Ремонт кровли  351кв.м. - 244510р.</t>
  </si>
  <si>
    <t>Установка железной двери с доводчиком 10900руб.                                                       Ремонт кровли  345 кв.м. - 298050р.</t>
  </si>
  <si>
    <t>Замена внутридомового водопровода 35мп-19988р.                               Ремонт межпанельных швов 260 кв.м.-194615руб.                                                    Установка  дверных блоков  4шт. - 61600р.</t>
  </si>
  <si>
    <t>Замена внутридомового водопровода 33мп-19571р.                                        Ремонт межпанельных швов 260 кв.м.  - 194615р.                                     Установка  дверных блоков  4шт. - 49600р.</t>
  </si>
  <si>
    <r>
      <t>Кап. ремонт кровли 390м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- 237800р.                                                          Установка дверных блоков 2шт. - 43800р.                                        Установка окон 2шт. - 38850р.</t>
    </r>
  </si>
  <si>
    <r>
      <t>Установка 2х железных дверей - 30000 руб.                               Установка 2х железных козырьков  - 10000руб.                        Выборочный ремонт кровли  - 67673</t>
    </r>
    <r>
      <rPr>
        <sz val="11"/>
        <rFont val="Arial"/>
        <family val="2"/>
      </rPr>
      <t xml:space="preserve"> р.              </t>
    </r>
    <r>
      <rPr>
        <sz val="10"/>
        <rFont val="Arial"/>
        <family val="2"/>
      </rPr>
      <t xml:space="preserve">                                                   </t>
    </r>
  </si>
  <si>
    <t>Установка 3-х дверных блоков - 75900р.                                             Установка перил - 4500р.                                                     Ремонт межпанельных  швов 1305м.п. - 638823р.</t>
  </si>
  <si>
    <t>Установка дверного блока - 17000р.                                                        Установка окон 3шт. -27291р                                                         Ремонт отмостки 118 кв.м. -116115р.</t>
  </si>
  <si>
    <r>
      <t>Кап. ремонт кровли 342м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- 323142р.                                                                Ремонт межпанельных швов 377 м.п. - 301191р.</t>
    </r>
  </si>
  <si>
    <t xml:space="preserve">Кап. ремонт кровли 287 м² - 155791р.                                                                      Ремонт межпанельных швов 388м.п. - 310206р. </t>
  </si>
  <si>
    <t>Установка металл. дверного блока-9000руб.                              Замена  козырька - 7200руб.                              Восстановление вент. шахт - 73187 руб.</t>
  </si>
  <si>
    <t xml:space="preserve">  </t>
  </si>
  <si>
    <t>Установка 2х металл. дверных блоков-24000руб .                                        Замена 2х козырьков - 13400руб.                                                              Замена 2х окннных блоков - 13400 руб.                                       Замена перилл 5м -14700руб.                                            Кап. ремонт кровли 414 кв.м.- 392338 руб.</t>
  </si>
  <si>
    <t>Установка 2х металл. дверных блоков-29000руб.                                                                                                                             Замена 2х козырьков - 14400руб.                                           Замена 2х окннных блоков - 13400 руб.                                     Кап. ремонт кровли 442,75 кв.м.- 387100 руб.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</si>
  <si>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</si>
  <si>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СОДЕРЖАНИЕ И РЕМОНТ МЕСТ ОБЩЕГО ПОЛЬЗОВАНИЯ МНОГОКВАРТИРНЫХ ДОМОВ</t>
  </si>
  <si>
    <t>ЛИЦЕВЫЕ СЧЕТА ПО МНОГОКВАРТИРНЫМ ДОМАМ ЗА 2015Г.</t>
  </si>
  <si>
    <t>АРЖ</t>
  </si>
  <si>
    <t>з/п Каменское с\п по обслуживанию</t>
  </si>
  <si>
    <t>з п дворников</t>
  </si>
  <si>
    <t>текущий ремонт+ тех обсл</t>
  </si>
  <si>
    <t>площадь санит обслуж м2</t>
  </si>
  <si>
    <t>Березкино затраты по управ</t>
  </si>
  <si>
    <t>кардымово управление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</si>
  <si>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</si>
  <si>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Сведения о выполненных работах по капитальному ремонту конструктивных элементов за период с 01.01.2008г. По 30.09.2014г.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</si>
</sst>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8" fillId="0" borderId="19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7" fillId="33" borderId="10" xfId="0" applyNumberFormat="1" applyFont="1" applyFill="1" applyBorder="1" applyAlignment="1" applyProtection="1">
      <alignment horizontal="center" vertical="top"/>
      <protection/>
    </xf>
    <xf numFmtId="2" fontId="9" fillId="33" borderId="13" xfId="0" applyNumberFormat="1" applyFont="1" applyFill="1" applyBorder="1" applyAlignment="1" applyProtection="1">
      <alignment horizontal="center" vertical="top"/>
      <protection/>
    </xf>
    <xf numFmtId="2" fontId="7" fillId="33" borderId="13" xfId="0" applyNumberFormat="1" applyFont="1" applyFill="1" applyBorder="1" applyAlignment="1" applyProtection="1">
      <alignment horizontal="center" vertical="top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164" fontId="0" fillId="0" borderId="24" xfId="0" applyNumberFormat="1" applyFill="1" applyBorder="1" applyAlignment="1" applyProtection="1">
      <alignment horizontal="left" vertical="center" wrapText="1"/>
      <protection/>
    </xf>
    <xf numFmtId="164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2" fontId="7" fillId="0" borderId="13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2" fontId="7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164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64" fontId="1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164" fontId="7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64" fontId="1" fillId="0" borderId="13" xfId="0" applyNumberFormat="1" applyFont="1" applyFill="1" applyBorder="1" applyAlignment="1" applyProtection="1">
      <alignment horizontal="center" vertical="top"/>
      <protection/>
    </xf>
    <xf numFmtId="2" fontId="9" fillId="0" borderId="13" xfId="0" applyNumberFormat="1" applyFont="1" applyFill="1" applyBorder="1" applyAlignment="1" applyProtection="1">
      <alignment horizontal="center" vertical="top"/>
      <protection/>
    </xf>
    <xf numFmtId="2" fontId="1" fillId="0" borderId="19" xfId="0" applyNumberFormat="1" applyFont="1" applyFill="1" applyBorder="1" applyAlignment="1" applyProtection="1">
      <alignment horizontal="center" vertical="center" wrapText="1"/>
      <protection/>
    </xf>
    <xf numFmtId="2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50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vertical="top" wrapText="1"/>
      <protection/>
    </xf>
    <xf numFmtId="0" fontId="50" fillId="0" borderId="0" xfId="0" applyNumberFormat="1" applyFont="1" applyFill="1" applyBorder="1" applyAlignment="1" applyProtection="1">
      <alignment vertical="top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0" fontId="8" fillId="33" borderId="13" xfId="0" applyNumberFormat="1" applyFont="1" applyFill="1" applyBorder="1" applyAlignment="1" applyProtection="1">
      <alignment horizontal="left" vertical="top"/>
      <protection/>
    </xf>
    <xf numFmtId="0" fontId="1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164" fontId="0" fillId="33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top" wrapText="1"/>
      <protection/>
    </xf>
    <xf numFmtId="2" fontId="1" fillId="0" borderId="13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workbookViewId="0" topLeftCell="A5">
      <selection activeCell="I71" sqref="I71"/>
    </sheetView>
  </sheetViews>
  <sheetFormatPr defaultColWidth="9.140625" defaultRowHeight="52.5" customHeight="1"/>
  <cols>
    <col min="1" max="1" width="3.8515625" style="0" customWidth="1"/>
    <col min="2" max="2" width="59.7109375" style="0" customWidth="1"/>
    <col min="3" max="3" width="6.7109375" style="0" hidden="1" customWidth="1"/>
    <col min="4" max="4" width="15.57421875" style="0" customWidth="1"/>
    <col min="5" max="5" width="13.140625" style="0" customWidth="1"/>
    <col min="6" max="6" width="13.00390625" style="0" customWidth="1"/>
    <col min="7" max="7" width="10.421875" style="0" customWidth="1"/>
    <col min="8" max="8" width="12.421875" style="0" customWidth="1"/>
    <col min="9" max="9" width="11.7109375" style="0" customWidth="1"/>
    <col min="10" max="10" width="11.57421875" style="0" customWidth="1"/>
    <col min="11" max="11" width="12.140625" style="0" customWidth="1"/>
    <col min="12" max="12" width="14.00390625" style="0" customWidth="1"/>
    <col min="13" max="13" width="14.57421875" style="0" customWidth="1"/>
    <col min="14" max="14" width="0.2890625" style="0" hidden="1" customWidth="1"/>
    <col min="15" max="15" width="12.7109375" style="0" customWidth="1"/>
    <col min="16" max="16" width="12.421875" style="0" customWidth="1"/>
    <col min="17" max="17" width="13.7109375" style="0" customWidth="1"/>
    <col min="18" max="18" width="54.7109375" style="0" customWidth="1"/>
    <col min="19" max="19" width="67.421875" style="0" customWidth="1"/>
  </cols>
  <sheetData>
    <row r="1" spans="1:14" ht="52.5" customHeight="1" hidden="1">
      <c r="A1" s="8"/>
      <c r="D1" s="7"/>
      <c r="E1" s="35"/>
      <c r="F1" s="35"/>
      <c r="G1" s="35" t="s">
        <v>50</v>
      </c>
      <c r="H1" s="35"/>
      <c r="I1" s="35"/>
      <c r="J1" s="35" t="s">
        <v>49</v>
      </c>
      <c r="K1" s="35"/>
      <c r="M1" s="35" t="s">
        <v>73</v>
      </c>
      <c r="N1" s="35"/>
    </row>
    <row r="2" spans="1:15" ht="52.5" customHeight="1" hidden="1">
      <c r="A2" s="35"/>
      <c r="B2" s="35"/>
      <c r="C2" s="35"/>
      <c r="D2" s="63"/>
      <c r="E2" s="35"/>
      <c r="F2" s="35"/>
      <c r="G2" s="35"/>
      <c r="H2" s="35"/>
      <c r="I2" s="35"/>
      <c r="J2" s="35"/>
      <c r="K2" s="35">
        <v>66749.01</v>
      </c>
      <c r="L2" s="64" t="s">
        <v>157</v>
      </c>
      <c r="M2" s="35"/>
      <c r="N2" s="35"/>
      <c r="O2" s="35"/>
    </row>
    <row r="3" spans="1:15" s="43" customFormat="1" ht="52.5" customHeight="1" hidden="1">
      <c r="A3" s="35"/>
      <c r="B3" s="35"/>
      <c r="C3" s="35"/>
      <c r="D3" s="65" t="s">
        <v>153</v>
      </c>
      <c r="E3" s="35">
        <v>82500</v>
      </c>
      <c r="F3" s="35" t="s">
        <v>154</v>
      </c>
      <c r="G3" s="66" t="s">
        <v>156</v>
      </c>
      <c r="H3" s="67" t="s">
        <v>155</v>
      </c>
      <c r="I3" s="35"/>
      <c r="J3" s="35"/>
      <c r="K3" s="35">
        <v>491927.12</v>
      </c>
      <c r="L3" s="35" t="s">
        <v>107</v>
      </c>
      <c r="M3" s="35"/>
      <c r="N3" s="35"/>
      <c r="O3" s="35"/>
    </row>
    <row r="4" spans="1:15" s="43" customFormat="1" ht="52.5" customHeight="1" hidden="1" thickBot="1">
      <c r="A4" s="35"/>
      <c r="B4" s="35"/>
      <c r="C4" s="35"/>
      <c r="D4" s="63" t="s">
        <v>152</v>
      </c>
      <c r="E4" s="35">
        <v>3927102.48</v>
      </c>
      <c r="F4" s="35">
        <v>2157039.5</v>
      </c>
      <c r="G4" s="35">
        <v>62182.7</v>
      </c>
      <c r="H4" s="35">
        <v>390019.58</v>
      </c>
      <c r="I4" s="35"/>
      <c r="J4" s="35"/>
      <c r="K4" s="35">
        <v>1818798.66</v>
      </c>
      <c r="L4" s="64" t="s">
        <v>158</v>
      </c>
      <c r="M4" s="35"/>
      <c r="N4" s="35"/>
      <c r="O4" s="35"/>
    </row>
    <row r="5" spans="1:18" ht="52.5" customHeight="1" thickBot="1">
      <c r="A5" s="85" t="s">
        <v>151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 t="s">
        <v>160</v>
      </c>
    </row>
    <row r="6" spans="1:18" ht="52.5" customHeight="1">
      <c r="A6" s="78"/>
      <c r="B6" s="79"/>
      <c r="C6" s="79"/>
      <c r="D6" s="80"/>
      <c r="E6" s="77" t="s">
        <v>150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88"/>
    </row>
    <row r="7" spans="1:18" ht="52.5" customHeight="1">
      <c r="A7" s="90" t="s">
        <v>71</v>
      </c>
      <c r="B7" s="90" t="s">
        <v>0</v>
      </c>
      <c r="C7" s="75" t="s">
        <v>1</v>
      </c>
      <c r="D7" s="75" t="s">
        <v>48</v>
      </c>
      <c r="E7" s="81" t="s">
        <v>62</v>
      </c>
      <c r="F7" s="75" t="s">
        <v>63</v>
      </c>
      <c r="G7" s="75" t="s">
        <v>52</v>
      </c>
      <c r="H7" s="75" t="s">
        <v>53</v>
      </c>
      <c r="I7" s="75" t="s">
        <v>54</v>
      </c>
      <c r="J7" s="75" t="s">
        <v>47</v>
      </c>
      <c r="K7" s="92" t="s">
        <v>64</v>
      </c>
      <c r="L7" s="93"/>
      <c r="M7" s="75" t="s">
        <v>70</v>
      </c>
      <c r="N7" s="36"/>
      <c r="O7" s="94" t="s">
        <v>67</v>
      </c>
      <c r="P7" s="75" t="s">
        <v>68</v>
      </c>
      <c r="Q7" s="83" t="s">
        <v>69</v>
      </c>
      <c r="R7" s="88"/>
    </row>
    <row r="8" spans="1:18" ht="52.5" customHeight="1" thickBot="1">
      <c r="A8" s="91"/>
      <c r="B8" s="91"/>
      <c r="C8" s="76"/>
      <c r="D8" s="76"/>
      <c r="E8" s="82"/>
      <c r="F8" s="76"/>
      <c r="G8" s="76"/>
      <c r="H8" s="76"/>
      <c r="I8" s="76"/>
      <c r="J8" s="76"/>
      <c r="K8" s="12" t="s">
        <v>65</v>
      </c>
      <c r="L8" s="12" t="s">
        <v>66</v>
      </c>
      <c r="M8" s="76"/>
      <c r="N8" s="37" t="s">
        <v>51</v>
      </c>
      <c r="O8" s="95"/>
      <c r="P8" s="76"/>
      <c r="Q8" s="84"/>
      <c r="R8" s="89"/>
    </row>
    <row r="9" spans="1:18" s="1" customFormat="1" ht="52.5" customHeight="1" thickBot="1">
      <c r="A9" s="22">
        <v>1</v>
      </c>
      <c r="B9" s="23">
        <v>2</v>
      </c>
      <c r="C9" s="23">
        <v>3</v>
      </c>
      <c r="D9" s="23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6">
        <v>18</v>
      </c>
    </row>
    <row r="10" spans="1:18" s="2" customFormat="1" ht="52.5" customHeight="1" thickBot="1">
      <c r="A10" s="40" t="s">
        <v>2</v>
      </c>
      <c r="B10" s="27" t="s">
        <v>3</v>
      </c>
      <c r="C10" s="49">
        <v>1990</v>
      </c>
      <c r="D10" s="50">
        <v>731</v>
      </c>
      <c r="E10" s="44">
        <f>E4/D53*D10</f>
        <v>44529.08770085859</v>
      </c>
      <c r="F10" s="44">
        <f>F4/G4*D10</f>
        <v>25357.468789550792</v>
      </c>
      <c r="G10" s="44"/>
      <c r="H10" s="44">
        <f>H4/D53*D10</f>
        <v>4422.399509898207</v>
      </c>
      <c r="I10" s="58"/>
      <c r="J10" s="59">
        <v>0</v>
      </c>
      <c r="K10" s="44">
        <f>K4/D53*D10</f>
        <v>20623.206410784594</v>
      </c>
      <c r="L10" s="44">
        <f>K10*54.48%</f>
        <v>11235.522852595446</v>
      </c>
      <c r="M10" s="44">
        <f>SUM(E10:K10)</f>
        <v>94932.16241109218</v>
      </c>
      <c r="N10" s="44">
        <f>M10-K10</f>
        <v>74308.95600030759</v>
      </c>
      <c r="O10" s="44">
        <v>96039.96</v>
      </c>
      <c r="P10" s="44">
        <v>77642.34</v>
      </c>
      <c r="Q10" s="33">
        <f>P10-M10</f>
        <v>-17289.822411092187</v>
      </c>
      <c r="R10" s="42" t="s">
        <v>123</v>
      </c>
    </row>
    <row r="11" spans="1:18" s="2" customFormat="1" ht="52.5" customHeight="1" thickBot="1">
      <c r="A11" s="15">
        <v>2</v>
      </c>
      <c r="B11" s="19" t="s">
        <v>9</v>
      </c>
      <c r="C11" s="51">
        <v>1978</v>
      </c>
      <c r="D11" s="51">
        <v>868.6</v>
      </c>
      <c r="E11" s="45">
        <f>E4/D53*D11</f>
        <v>52911.03362102021</v>
      </c>
      <c r="F11" s="45">
        <f>F4/G4*D11</f>
        <v>30130.63938523094</v>
      </c>
      <c r="G11" s="45"/>
      <c r="H11" s="45">
        <f>H4/D53*D11</f>
        <v>5254.851182349634</v>
      </c>
      <c r="I11" s="60">
        <f>886.58+31480.71</f>
        <v>32367.29</v>
      </c>
      <c r="J11" s="59">
        <v>0</v>
      </c>
      <c r="K11" s="45">
        <f>K4/D53*D11</f>
        <v>24505.221735167575</v>
      </c>
      <c r="L11" s="45">
        <f aca="true" t="shared" si="0" ref="L11:L52">K11*54.48%</f>
        <v>13350.444801319294</v>
      </c>
      <c r="M11" s="44">
        <f>SUM(E11:K11)</f>
        <v>145169.03592376836</v>
      </c>
      <c r="N11" s="45">
        <f aca="true" t="shared" si="1" ref="N11:N52">M11-K11</f>
        <v>120663.81418860078</v>
      </c>
      <c r="O11" s="45">
        <v>102862.74</v>
      </c>
      <c r="P11" s="45">
        <v>88313.01</v>
      </c>
      <c r="Q11" s="33">
        <f>P11-M11</f>
        <v>-56856.025923768364</v>
      </c>
      <c r="R11" s="42" t="s">
        <v>124</v>
      </c>
    </row>
    <row r="12" spans="1:18" s="2" customFormat="1" ht="52.5" customHeight="1" thickBot="1">
      <c r="A12" s="15">
        <v>3</v>
      </c>
      <c r="B12" s="19" t="s">
        <v>10</v>
      </c>
      <c r="C12" s="51">
        <v>1988</v>
      </c>
      <c r="D12" s="51">
        <v>732.3</v>
      </c>
      <c r="E12" s="45">
        <f>E4/D53*D12</f>
        <v>44608.27759690663</v>
      </c>
      <c r="F12" s="45">
        <f>F4/G4*D12</f>
        <v>25402.564151283234</v>
      </c>
      <c r="G12" s="45"/>
      <c r="H12" s="45">
        <f>H4/D53*D12</f>
        <v>4430.26424226875</v>
      </c>
      <c r="I12" s="60">
        <f>1276.83+1042+7064</f>
        <v>9382.83</v>
      </c>
      <c r="J12" s="59">
        <v>0</v>
      </c>
      <c r="K12" s="45">
        <f>K4/D53*D12</f>
        <v>20659.882427657398</v>
      </c>
      <c r="L12" s="45">
        <f t="shared" si="0"/>
        <v>11255.503946587749</v>
      </c>
      <c r="M12" s="45">
        <f aca="true" t="shared" si="2" ref="M12:M68">SUM(E12:K12)</f>
        <v>104483.81841811602</v>
      </c>
      <c r="N12" s="45">
        <f t="shared" si="1"/>
        <v>83823.93599045862</v>
      </c>
      <c r="O12" s="45">
        <v>96474.6</v>
      </c>
      <c r="P12" s="45">
        <v>94282.23</v>
      </c>
      <c r="Q12" s="33">
        <f aca="true" t="shared" si="3" ref="Q12:Q52">P12-M12</f>
        <v>-10201.588418116022</v>
      </c>
      <c r="R12" s="42" t="s">
        <v>111</v>
      </c>
    </row>
    <row r="13" spans="1:18" s="2" customFormat="1" ht="52.5" customHeight="1" thickBot="1">
      <c r="A13" s="15">
        <v>4</v>
      </c>
      <c r="B13" s="19" t="s">
        <v>4</v>
      </c>
      <c r="C13" s="51">
        <v>1991</v>
      </c>
      <c r="D13" s="51">
        <v>719.2</v>
      </c>
      <c r="E13" s="45">
        <f>E4/D53*D13</f>
        <v>43810.28710596101</v>
      </c>
      <c r="F13" s="45">
        <f>F4/G4*D13</f>
        <v>24948.141659979385</v>
      </c>
      <c r="G13" s="45"/>
      <c r="H13" s="45">
        <f>H4/D53*D13</f>
        <v>4351.011939150192</v>
      </c>
      <c r="I13" s="60">
        <f>2064+1020</f>
        <v>3084</v>
      </c>
      <c r="J13" s="59">
        <v>0</v>
      </c>
      <c r="K13" s="45">
        <f>K4/D53*D13</f>
        <v>20290.301026862217</v>
      </c>
      <c r="L13" s="45">
        <f t="shared" si="0"/>
        <v>11054.155999434535</v>
      </c>
      <c r="M13" s="45">
        <f t="shared" si="2"/>
        <v>96483.7417319528</v>
      </c>
      <c r="N13" s="45">
        <f t="shared" si="1"/>
        <v>76193.44070509059</v>
      </c>
      <c r="O13" s="45">
        <v>95064.72</v>
      </c>
      <c r="P13" s="45">
        <v>95636.71</v>
      </c>
      <c r="Q13" s="33">
        <f t="shared" si="3"/>
        <v>-847.0317319527967</v>
      </c>
      <c r="R13" s="41" t="s">
        <v>110</v>
      </c>
    </row>
    <row r="14" spans="1:18" s="2" customFormat="1" ht="52.5" customHeight="1" thickBot="1">
      <c r="A14" s="15">
        <v>5</v>
      </c>
      <c r="B14" s="19" t="s">
        <v>29</v>
      </c>
      <c r="C14" s="51">
        <v>1991</v>
      </c>
      <c r="D14" s="51">
        <v>721.5</v>
      </c>
      <c r="E14" s="45">
        <f>E4/D53*D14</f>
        <v>43950.392306661386</v>
      </c>
      <c r="F14" s="45">
        <f>F4/G4*D14</f>
        <v>25027.925761506012</v>
      </c>
      <c r="G14" s="45"/>
      <c r="H14" s="45">
        <f>H4/D53*D14</f>
        <v>4364.9264656519235</v>
      </c>
      <c r="I14" s="60">
        <f>1092</f>
        <v>1092</v>
      </c>
      <c r="J14" s="59">
        <v>0</v>
      </c>
      <c r="K14" s="45">
        <f>K4/D53*D14</f>
        <v>20355.189364406408</v>
      </c>
      <c r="L14" s="45">
        <f t="shared" si="0"/>
        <v>11089.50716572861</v>
      </c>
      <c r="M14" s="45">
        <f t="shared" si="2"/>
        <v>94790.43389822573</v>
      </c>
      <c r="N14" s="45">
        <f t="shared" si="1"/>
        <v>74435.24453381932</v>
      </c>
      <c r="O14" s="45">
        <v>95314.92</v>
      </c>
      <c r="P14" s="45">
        <v>81388.29</v>
      </c>
      <c r="Q14" s="33">
        <f t="shared" si="3"/>
        <v>-13402.143898225739</v>
      </c>
      <c r="R14" s="41" t="s">
        <v>108</v>
      </c>
    </row>
    <row r="15" spans="1:18" s="2" customFormat="1" ht="52.5" customHeight="1" thickBot="1">
      <c r="A15" s="15">
        <v>6</v>
      </c>
      <c r="B15" s="19" t="s">
        <v>11</v>
      </c>
      <c r="C15" s="51">
        <v>1989</v>
      </c>
      <c r="D15" s="51">
        <v>4255.9</v>
      </c>
      <c r="E15" s="45">
        <f>E4/D53*D15</f>
        <v>259249.44506988244</v>
      </c>
      <c r="F15" s="45">
        <f>F4/G4*D15</f>
        <v>147631.80769008098</v>
      </c>
      <c r="G15" s="45"/>
      <c r="H15" s="45">
        <f>H4/D53*D15</f>
        <v>25747.31884292172</v>
      </c>
      <c r="I15" s="60">
        <f>13389+831</f>
        <v>14220</v>
      </c>
      <c r="J15" s="47">
        <v>11878.82</v>
      </c>
      <c r="K15" s="45">
        <f>K4/D53*D15</f>
        <v>120068.81554535998</v>
      </c>
      <c r="L15" s="45">
        <f t="shared" si="0"/>
        <v>65413.490709112106</v>
      </c>
      <c r="M15" s="45">
        <f t="shared" si="2"/>
        <v>578796.2071482451</v>
      </c>
      <c r="N15" s="45">
        <f t="shared" si="1"/>
        <v>458727.3916028851</v>
      </c>
      <c r="O15" s="45">
        <v>615136.61</v>
      </c>
      <c r="P15" s="45">
        <v>594361.67</v>
      </c>
      <c r="Q15" s="33">
        <f t="shared" si="3"/>
        <v>15565.462851754972</v>
      </c>
      <c r="R15" s="42" t="s">
        <v>121</v>
      </c>
    </row>
    <row r="16" spans="1:18" s="2" customFormat="1" ht="52.5" customHeight="1" thickBot="1">
      <c r="A16" s="15">
        <v>7</v>
      </c>
      <c r="B16" s="19" t="s">
        <v>12</v>
      </c>
      <c r="C16" s="51">
        <v>1988</v>
      </c>
      <c r="D16" s="51">
        <v>4245.1</v>
      </c>
      <c r="E16" s="45">
        <f>E4/D53*D16</f>
        <v>258591.55977963723</v>
      </c>
      <c r="F16" s="45">
        <f>F4/G4*D16</f>
        <v>147257.1693003038</v>
      </c>
      <c r="G16" s="45"/>
      <c r="H16" s="45">
        <f>H4/D53*D16+2515.54</f>
        <v>28197.521066304897</v>
      </c>
      <c r="I16" s="60">
        <f>36617+3519.3+39982+4357+6161+831+148953</f>
        <v>240420.3</v>
      </c>
      <c r="J16" s="47">
        <v>11878.82</v>
      </c>
      <c r="K16" s="45">
        <f>K4/D53*D16</f>
        <v>119764.12248210901</v>
      </c>
      <c r="L16" s="45">
        <f t="shared" si="0"/>
        <v>65247.49392825299</v>
      </c>
      <c r="M16" s="45">
        <f t="shared" si="2"/>
        <v>806109.4926283548</v>
      </c>
      <c r="N16" s="45">
        <f t="shared" si="1"/>
        <v>686345.3701462458</v>
      </c>
      <c r="O16" s="45">
        <v>628003.96</v>
      </c>
      <c r="P16" s="45">
        <v>625224.28</v>
      </c>
      <c r="Q16" s="33">
        <f t="shared" si="3"/>
        <v>-180885.21262835478</v>
      </c>
      <c r="R16" s="42" t="s">
        <v>120</v>
      </c>
    </row>
    <row r="17" spans="1:18" s="2" customFormat="1" ht="52.5" customHeight="1" thickBot="1">
      <c r="A17" s="15">
        <v>8</v>
      </c>
      <c r="B17" s="19" t="s">
        <v>5</v>
      </c>
      <c r="C17" s="51">
        <v>1978</v>
      </c>
      <c r="D17" s="51">
        <v>772.1</v>
      </c>
      <c r="E17" s="45">
        <f>E4/D53*D17</f>
        <v>47032.706722069655</v>
      </c>
      <c r="F17" s="45">
        <f>F4/G4*D17</f>
        <v>26783.175995091882</v>
      </c>
      <c r="G17" s="45"/>
      <c r="H17" s="45">
        <f>H4/D53*D17</f>
        <v>4671.046048690021</v>
      </c>
      <c r="I17" s="60">
        <f>1370+137+185403</f>
        <v>186910</v>
      </c>
      <c r="J17" s="47">
        <v>0</v>
      </c>
      <c r="K17" s="45">
        <f>K4/D53*D17</f>
        <v>21782.73279037864</v>
      </c>
      <c r="L17" s="45">
        <f t="shared" si="0"/>
        <v>11867.232824198281</v>
      </c>
      <c r="M17" s="45">
        <f t="shared" si="2"/>
        <v>287179.66155623016</v>
      </c>
      <c r="N17" s="45">
        <f t="shared" si="1"/>
        <v>265396.92876585154</v>
      </c>
      <c r="O17" s="45">
        <v>91931.52</v>
      </c>
      <c r="P17" s="45">
        <v>88313.66</v>
      </c>
      <c r="Q17" s="33">
        <f>P17-M17</f>
        <v>-198866.00155623016</v>
      </c>
      <c r="R17" s="41" t="s">
        <v>55</v>
      </c>
    </row>
    <row r="18" spans="1:18" s="2" customFormat="1" ht="52.5" customHeight="1" thickBot="1">
      <c r="A18" s="15">
        <v>9</v>
      </c>
      <c r="B18" s="19" t="s">
        <v>13</v>
      </c>
      <c r="C18" s="51">
        <v>1979</v>
      </c>
      <c r="D18" s="51">
        <v>779.4</v>
      </c>
      <c r="E18" s="45">
        <f>E4/D53*D18</f>
        <v>47477.38844603171</v>
      </c>
      <c r="F18" s="45">
        <f>F4/G4*D18</f>
        <v>27036.403795589446</v>
      </c>
      <c r="G18" s="45"/>
      <c r="H18" s="45">
        <f>H4/D53*D18</f>
        <v>4715.2095458476915</v>
      </c>
      <c r="I18" s="60">
        <f>152562</f>
        <v>152562</v>
      </c>
      <c r="J18" s="47">
        <v>0</v>
      </c>
      <c r="K18" s="45">
        <f>K4/D53*D18</f>
        <v>21988.68273127977</v>
      </c>
      <c r="L18" s="45">
        <f t="shared" si="0"/>
        <v>11979.434352001217</v>
      </c>
      <c r="M18" s="45">
        <f t="shared" si="2"/>
        <v>253779.6845187486</v>
      </c>
      <c r="N18" s="45">
        <f t="shared" si="1"/>
        <v>231791.00178746885</v>
      </c>
      <c r="O18" s="45">
        <v>92299.08</v>
      </c>
      <c r="P18" s="45">
        <v>88137.21</v>
      </c>
      <c r="Q18" s="33">
        <f t="shared" si="3"/>
        <v>-165642.47451874858</v>
      </c>
      <c r="R18" s="42" t="s">
        <v>132</v>
      </c>
    </row>
    <row r="19" spans="1:18" s="2" customFormat="1" ht="52.5" customHeight="1" thickBot="1">
      <c r="A19" s="15">
        <v>10</v>
      </c>
      <c r="B19" s="19" t="s">
        <v>6</v>
      </c>
      <c r="C19" s="51">
        <v>1991</v>
      </c>
      <c r="D19" s="51">
        <v>5272.8</v>
      </c>
      <c r="E19" s="45">
        <f>E4/D53*D19</f>
        <v>321194.2183708443</v>
      </c>
      <c r="F19" s="45">
        <f>F4/G4*D19</f>
        <v>182906.7871867899</v>
      </c>
      <c r="G19" s="45"/>
      <c r="H19" s="45">
        <f>H4/D53*D19+2640.94+2269.82+600</f>
        <v>37410.11449492649</v>
      </c>
      <c r="I19" s="45">
        <f>18936.27+9901</f>
        <v>28837.27</v>
      </c>
      <c r="J19" s="47">
        <v>15262.71</v>
      </c>
      <c r="K19" s="45">
        <f>K4/D53*D19</f>
        <v>148757.9244360944</v>
      </c>
      <c r="L19" s="45">
        <f t="shared" si="0"/>
        <v>81043.31723278423</v>
      </c>
      <c r="M19" s="45">
        <f t="shared" si="2"/>
        <v>734369.0244886552</v>
      </c>
      <c r="N19" s="45">
        <f t="shared" si="1"/>
        <v>585611.1000525607</v>
      </c>
      <c r="O19" s="45">
        <v>760285.75</v>
      </c>
      <c r="P19" s="45">
        <v>746771.74</v>
      </c>
      <c r="Q19" s="33">
        <f t="shared" si="3"/>
        <v>12402.715511344839</v>
      </c>
      <c r="R19" s="42" t="s">
        <v>133</v>
      </c>
    </row>
    <row r="20" spans="1:18" s="2" customFormat="1" ht="52.5" customHeight="1" thickBot="1">
      <c r="A20" s="15">
        <v>11</v>
      </c>
      <c r="B20" s="19" t="s">
        <v>44</v>
      </c>
      <c r="C20" s="51">
        <v>1984</v>
      </c>
      <c r="D20" s="51">
        <v>3638.14</v>
      </c>
      <c r="E20" s="45">
        <f>E4/D53*D20</f>
        <v>221618.40646785454</v>
      </c>
      <c r="F20" s="45">
        <f>F4/G4*D20</f>
        <v>126202.49179482396</v>
      </c>
      <c r="G20" s="45">
        <v>168668</v>
      </c>
      <c r="H20" s="45">
        <f>(H4/D53*D20)+23843+1104</f>
        <v>46956.998020439205</v>
      </c>
      <c r="I20" s="45">
        <f>16420</f>
        <v>16420</v>
      </c>
      <c r="J20" s="47">
        <v>0</v>
      </c>
      <c r="K20" s="45">
        <f>K4/D53*D20</f>
        <v>102640.37232740337</v>
      </c>
      <c r="L20" s="45">
        <f t="shared" si="0"/>
        <v>55918.47484396935</v>
      </c>
      <c r="M20" s="45">
        <f t="shared" si="2"/>
        <v>682506.2686105211</v>
      </c>
      <c r="N20" s="45">
        <f t="shared" si="1"/>
        <v>579865.8962831177</v>
      </c>
      <c r="O20" s="45">
        <v>489695.12</v>
      </c>
      <c r="P20" s="45">
        <v>436054.57</v>
      </c>
      <c r="Q20" s="33">
        <f t="shared" si="3"/>
        <v>-246451.6986105211</v>
      </c>
      <c r="R20" s="42" t="s">
        <v>149</v>
      </c>
    </row>
    <row r="21" spans="1:18" s="2" customFormat="1" ht="52.5" customHeight="1" thickBot="1">
      <c r="A21" s="15">
        <v>12</v>
      </c>
      <c r="B21" s="19" t="s">
        <v>41</v>
      </c>
      <c r="C21" s="51">
        <v>1978</v>
      </c>
      <c r="D21" s="51">
        <v>271.7</v>
      </c>
      <c r="E21" s="45">
        <f>E4/D53*D21</f>
        <v>16550.688274040054</v>
      </c>
      <c r="F21" s="45">
        <f>F4/G4*D21</f>
        <v>9424.930602080642</v>
      </c>
      <c r="G21" s="45"/>
      <c r="H21" s="45">
        <f>H4/D53*D21</f>
        <v>1643.7290654436974</v>
      </c>
      <c r="I21" s="60"/>
      <c r="J21" s="47">
        <v>0</v>
      </c>
      <c r="K21" s="45">
        <f>K4/D53*D21</f>
        <v>7665.287526416107</v>
      </c>
      <c r="L21" s="45">
        <f t="shared" si="0"/>
        <v>4176.048644391494</v>
      </c>
      <c r="M21" s="45">
        <f t="shared" si="2"/>
        <v>35284.6354679805</v>
      </c>
      <c r="N21" s="45">
        <f t="shared" si="1"/>
        <v>27619.347941564396</v>
      </c>
      <c r="O21" s="45">
        <v>35799.36</v>
      </c>
      <c r="P21" s="45">
        <v>32050.72</v>
      </c>
      <c r="Q21" s="33">
        <f t="shared" si="3"/>
        <v>-3233.9154679804997</v>
      </c>
      <c r="R21" s="41" t="s">
        <v>58</v>
      </c>
    </row>
    <row r="22" spans="1:18" s="2" customFormat="1" ht="52.5" customHeight="1" thickBot="1">
      <c r="A22" s="15">
        <v>13</v>
      </c>
      <c r="B22" s="19" t="s">
        <v>7</v>
      </c>
      <c r="C22" s="51">
        <v>1977</v>
      </c>
      <c r="D22" s="52">
        <v>271</v>
      </c>
      <c r="E22" s="45">
        <f>E4/D53*D22</f>
        <v>16508.047560783416</v>
      </c>
      <c r="F22" s="45">
        <f>F4/G4*D22</f>
        <v>9400.648484224712</v>
      </c>
      <c r="G22" s="45"/>
      <c r="H22" s="45">
        <f>H4/D53*D22</f>
        <v>1639.494209551866</v>
      </c>
      <c r="I22" s="60"/>
      <c r="J22" s="47">
        <v>0</v>
      </c>
      <c r="K22" s="45">
        <f>K4/D53*D22</f>
        <v>7645.538901946135</v>
      </c>
      <c r="L22" s="45">
        <f t="shared" si="0"/>
        <v>4165.289593780254</v>
      </c>
      <c r="M22" s="45">
        <f t="shared" si="2"/>
        <v>35193.72915650613</v>
      </c>
      <c r="N22" s="45">
        <f t="shared" si="1"/>
        <v>27548.190254559995</v>
      </c>
      <c r="O22" s="45">
        <v>41400.04</v>
      </c>
      <c r="P22" s="45">
        <v>40555.83</v>
      </c>
      <c r="Q22" s="33">
        <f t="shared" si="3"/>
        <v>5362.10084349387</v>
      </c>
      <c r="R22" s="41"/>
    </row>
    <row r="23" spans="1:18" s="2" customFormat="1" ht="52.5" customHeight="1" thickBot="1">
      <c r="A23" s="15">
        <v>14</v>
      </c>
      <c r="B23" s="20" t="s">
        <v>42</v>
      </c>
      <c r="C23" s="51">
        <v>1986</v>
      </c>
      <c r="D23" s="51">
        <v>3215.3</v>
      </c>
      <c r="E23" s="45">
        <f>E4/D53*D23</f>
        <v>195860.97904866023</v>
      </c>
      <c r="F23" s="45">
        <f>F4/G4*D23</f>
        <v>111534.70506024988</v>
      </c>
      <c r="G23" s="45"/>
      <c r="H23" s="45">
        <f>H4/D53*D23+600.11</f>
        <v>20052.013070007804</v>
      </c>
      <c r="I23" s="61">
        <f>135265</f>
        <v>135265</v>
      </c>
      <c r="J23" s="47">
        <v>0</v>
      </c>
      <c r="K23" s="45">
        <f>K4/D53*D23</f>
        <v>90711.0746547137</v>
      </c>
      <c r="L23" s="45">
        <f t="shared" si="0"/>
        <v>49419.39347188802</v>
      </c>
      <c r="M23" s="45">
        <f t="shared" si="2"/>
        <v>553423.7718336316</v>
      </c>
      <c r="N23" s="45">
        <f t="shared" si="1"/>
        <v>462712.6971789179</v>
      </c>
      <c r="O23" s="45">
        <v>460730.83</v>
      </c>
      <c r="P23" s="45">
        <v>454049.85</v>
      </c>
      <c r="Q23" s="33">
        <f t="shared" si="3"/>
        <v>-99373.92183363158</v>
      </c>
      <c r="R23" s="42" t="s">
        <v>112</v>
      </c>
    </row>
    <row r="24" spans="1:18" s="2" customFormat="1" ht="52.5" customHeight="1" thickBot="1">
      <c r="A24" s="15">
        <v>15</v>
      </c>
      <c r="B24" s="19" t="s">
        <v>8</v>
      </c>
      <c r="C24" s="51">
        <v>1977</v>
      </c>
      <c r="D24" s="51">
        <v>841.9</v>
      </c>
      <c r="E24" s="45">
        <f>E4/D53*D24</f>
        <v>51284.5949868028</v>
      </c>
      <c r="F24" s="45">
        <f>F4/G4*D24</f>
        <v>29204.45003272614</v>
      </c>
      <c r="G24" s="45"/>
      <c r="H24" s="45">
        <f>H4/D53*D24</f>
        <v>5093.321679046922</v>
      </c>
      <c r="I24" s="45"/>
      <c r="J24" s="47">
        <v>0</v>
      </c>
      <c r="K24" s="45">
        <f>K4/D53*D24</f>
        <v>23751.95277324152</v>
      </c>
      <c r="L24" s="45">
        <f t="shared" si="0"/>
        <v>12940.063870861979</v>
      </c>
      <c r="M24" s="45">
        <f t="shared" si="2"/>
        <v>109334.31947181738</v>
      </c>
      <c r="N24" s="45">
        <f t="shared" si="1"/>
        <v>85582.36669857586</v>
      </c>
      <c r="O24" s="45">
        <v>119123.68</v>
      </c>
      <c r="P24" s="45">
        <v>118715.51</v>
      </c>
      <c r="Q24" s="33">
        <f t="shared" si="3"/>
        <v>9381.190528182618</v>
      </c>
      <c r="R24" s="41" t="s">
        <v>95</v>
      </c>
    </row>
    <row r="25" spans="1:18" s="2" customFormat="1" ht="52.5" customHeight="1" thickBot="1">
      <c r="A25" s="15">
        <v>16</v>
      </c>
      <c r="B25" s="19" t="s">
        <v>43</v>
      </c>
      <c r="C25" s="51">
        <v>1966</v>
      </c>
      <c r="D25" s="51">
        <v>180.9</v>
      </c>
      <c r="E25" s="45">
        <f>E4/D53*D25</f>
        <v>11019.578611607823</v>
      </c>
      <c r="F25" s="45">
        <v>0</v>
      </c>
      <c r="G25" s="45"/>
      <c r="H25" s="45">
        <f>H4/D53*D25+805.97</f>
        <v>1900.3777583318545</v>
      </c>
      <c r="I25" s="60"/>
      <c r="J25" s="47">
        <v>0</v>
      </c>
      <c r="K25" s="45">
        <f>K4/D53*D25</f>
        <v>5103.608809454081</v>
      </c>
      <c r="L25" s="45">
        <f t="shared" si="0"/>
        <v>2780.4460793905832</v>
      </c>
      <c r="M25" s="45">
        <f t="shared" si="2"/>
        <v>18023.565179393758</v>
      </c>
      <c r="N25" s="45">
        <f t="shared" si="1"/>
        <v>12919.956369939677</v>
      </c>
      <c r="O25" s="45">
        <v>21447.48</v>
      </c>
      <c r="P25" s="45">
        <v>20789.6</v>
      </c>
      <c r="Q25" s="33">
        <f t="shared" si="3"/>
        <v>2766.034820606241</v>
      </c>
      <c r="R25" s="41" t="s">
        <v>57</v>
      </c>
    </row>
    <row r="26" spans="1:18" s="2" customFormat="1" ht="52.5" customHeight="1" thickBot="1">
      <c r="A26" s="15">
        <v>17</v>
      </c>
      <c r="B26" s="19" t="s">
        <v>14</v>
      </c>
      <c r="C26" s="51">
        <v>1974</v>
      </c>
      <c r="D26" s="51">
        <v>715.6</v>
      </c>
      <c r="E26" s="45">
        <f>E4/D53*D26</f>
        <v>43590.9920092126</v>
      </c>
      <c r="F26" s="45">
        <f>F4/G4*D26</f>
        <v>24823.26219672031</v>
      </c>
      <c r="G26" s="45"/>
      <c r="H26" s="45">
        <f>H4/D53*D26+931+17456</f>
        <v>22716.232680277917</v>
      </c>
      <c r="I26" s="45"/>
      <c r="J26" s="47">
        <v>0</v>
      </c>
      <c r="K26" s="45">
        <f>K4/D53*D26</f>
        <v>20188.73667244522</v>
      </c>
      <c r="L26" s="45">
        <f t="shared" si="0"/>
        <v>10998.823739148154</v>
      </c>
      <c r="M26" s="45">
        <f t="shared" si="2"/>
        <v>111319.22355865603</v>
      </c>
      <c r="N26" s="45">
        <f t="shared" si="1"/>
        <v>91130.48688621081</v>
      </c>
      <c r="O26" s="45">
        <v>85256.52</v>
      </c>
      <c r="P26" s="45">
        <v>82868.78</v>
      </c>
      <c r="Q26" s="33">
        <f t="shared" si="3"/>
        <v>-28450.44355865603</v>
      </c>
      <c r="R26" s="41" t="s">
        <v>96</v>
      </c>
    </row>
    <row r="27" spans="1:18" s="2" customFormat="1" ht="52.5" customHeight="1" thickBot="1">
      <c r="A27" s="15">
        <v>18</v>
      </c>
      <c r="B27" s="19" t="s">
        <v>15</v>
      </c>
      <c r="C27" s="51">
        <v>1972</v>
      </c>
      <c r="D27" s="51">
        <v>714.9</v>
      </c>
      <c r="E27" s="45">
        <f>E4/D53*D27</f>
        <v>43548.35129595596</v>
      </c>
      <c r="F27" s="45">
        <f>F4/G4*D27</f>
        <v>24798.980078864377</v>
      </c>
      <c r="G27" s="45"/>
      <c r="H27" s="45">
        <f>H4/D53*D27+930+17456</f>
        <v>22710.997824386086</v>
      </c>
      <c r="I27" s="45"/>
      <c r="J27" s="47">
        <v>0</v>
      </c>
      <c r="K27" s="45">
        <f>K4/D53*D27</f>
        <v>20168.988047975246</v>
      </c>
      <c r="L27" s="45">
        <f t="shared" si="0"/>
        <v>10988.064688536913</v>
      </c>
      <c r="M27" s="45">
        <f t="shared" si="2"/>
        <v>111227.31724718167</v>
      </c>
      <c r="N27" s="45">
        <f t="shared" si="1"/>
        <v>91058.32919920642</v>
      </c>
      <c r="O27" s="45">
        <v>85099.14</v>
      </c>
      <c r="P27" s="45">
        <v>77312.38</v>
      </c>
      <c r="Q27" s="33">
        <f t="shared" si="3"/>
        <v>-33914.93724718166</v>
      </c>
      <c r="R27" s="41" t="s">
        <v>97</v>
      </c>
    </row>
    <row r="28" spans="1:18" s="2" customFormat="1" ht="52.5" customHeight="1" thickBot="1">
      <c r="A28" s="15">
        <v>19</v>
      </c>
      <c r="B28" s="19" t="s">
        <v>16</v>
      </c>
      <c r="C28" s="51">
        <v>1971</v>
      </c>
      <c r="D28" s="51">
        <v>715.2</v>
      </c>
      <c r="E28" s="45">
        <f>E4/D53*D28</f>
        <v>43566.62588735166</v>
      </c>
      <c r="F28" s="45">
        <f>F4/G4*D28</f>
        <v>24809.386700802635</v>
      </c>
      <c r="G28" s="45"/>
      <c r="H28" s="45">
        <f>H4/D53*D28</f>
        <v>4326.812762625442</v>
      </c>
      <c r="I28" s="45"/>
      <c r="J28" s="47">
        <v>0</v>
      </c>
      <c r="K28" s="45">
        <f>K4/D53*D28</f>
        <v>20177.451744176666</v>
      </c>
      <c r="L28" s="45">
        <f t="shared" si="0"/>
        <v>10992.675710227446</v>
      </c>
      <c r="M28" s="45">
        <f t="shared" si="2"/>
        <v>92880.2770949564</v>
      </c>
      <c r="N28" s="45">
        <f t="shared" si="1"/>
        <v>72702.82535077973</v>
      </c>
      <c r="O28" s="45">
        <v>84936.24</v>
      </c>
      <c r="P28" s="45">
        <v>85546.62</v>
      </c>
      <c r="Q28" s="33">
        <f t="shared" si="3"/>
        <v>-7333.657094956405</v>
      </c>
      <c r="R28" s="41" t="s">
        <v>59</v>
      </c>
    </row>
    <row r="29" spans="1:18" s="2" customFormat="1" ht="52.5" customHeight="1" thickBot="1">
      <c r="A29" s="15">
        <v>20</v>
      </c>
      <c r="B29" s="19" t="s">
        <v>17</v>
      </c>
      <c r="C29" s="51">
        <v>1981</v>
      </c>
      <c r="D29" s="51">
        <v>875.2</v>
      </c>
      <c r="E29" s="45">
        <f>E4/D53*D29</f>
        <v>53313.074631725634</v>
      </c>
      <c r="F29" s="45">
        <f>F4/G4*D29</f>
        <v>30359.585067872576</v>
      </c>
      <c r="G29" s="45"/>
      <c r="H29" s="45">
        <f>H4/D53*D29</f>
        <v>5294.779823615473</v>
      </c>
      <c r="I29" s="45"/>
      <c r="J29" s="47">
        <v>0</v>
      </c>
      <c r="K29" s="45">
        <f>K4/D53*D29</f>
        <v>24691.423051598736</v>
      </c>
      <c r="L29" s="45">
        <f t="shared" si="0"/>
        <v>13451.88727851099</v>
      </c>
      <c r="M29" s="45">
        <f t="shared" si="2"/>
        <v>113658.86257481243</v>
      </c>
      <c r="N29" s="45">
        <f t="shared" si="1"/>
        <v>88967.43952321369</v>
      </c>
      <c r="O29" s="45">
        <v>118399.5</v>
      </c>
      <c r="P29" s="45">
        <v>113725.18</v>
      </c>
      <c r="Q29" s="33">
        <f t="shared" si="3"/>
        <v>66.31742518756073</v>
      </c>
      <c r="R29" s="42" t="s">
        <v>126</v>
      </c>
    </row>
    <row r="30" spans="1:18" s="2" customFormat="1" ht="52.5" customHeight="1" thickBot="1">
      <c r="A30" s="15">
        <v>21</v>
      </c>
      <c r="B30" s="19" t="s">
        <v>18</v>
      </c>
      <c r="C30" s="51">
        <v>1981</v>
      </c>
      <c r="D30" s="51">
        <v>875.4</v>
      </c>
      <c r="E30" s="45">
        <f>E4/D53*D30</f>
        <v>53325.2576926561</v>
      </c>
      <c r="F30" s="45">
        <f>F4/G4*D30</f>
        <v>30366.522815831413</v>
      </c>
      <c r="G30" s="45"/>
      <c r="H30" s="45">
        <f>H4/D53*D30+2676.1+24341.76</f>
        <v>32313.849782441706</v>
      </c>
      <c r="I30" s="45">
        <f>772</f>
        <v>772</v>
      </c>
      <c r="J30" s="47">
        <v>0</v>
      </c>
      <c r="K30" s="45">
        <f>K4/D53*D30</f>
        <v>24697.065515733015</v>
      </c>
      <c r="L30" s="45">
        <f t="shared" si="0"/>
        <v>13454.961292971346</v>
      </c>
      <c r="M30" s="45">
        <f t="shared" si="2"/>
        <v>141474.69580666223</v>
      </c>
      <c r="N30" s="45">
        <f t="shared" si="1"/>
        <v>116777.63029092921</v>
      </c>
      <c r="O30" s="45">
        <v>121573.7</v>
      </c>
      <c r="P30" s="45">
        <v>120491.05</v>
      </c>
      <c r="Q30" s="33">
        <f t="shared" si="3"/>
        <v>-20983.64580666223</v>
      </c>
      <c r="R30" s="42" t="s">
        <v>125</v>
      </c>
    </row>
    <row r="31" spans="1:18" s="2" customFormat="1" ht="52.5" customHeight="1" thickBot="1">
      <c r="A31" s="15">
        <v>22</v>
      </c>
      <c r="B31" s="19" t="s">
        <v>19</v>
      </c>
      <c r="C31" s="51">
        <v>1986</v>
      </c>
      <c r="D31" s="51">
        <v>3099.3</v>
      </c>
      <c r="E31" s="45">
        <f>E4/D53*D31</f>
        <v>188794.80370898911</v>
      </c>
      <c r="F31" s="45">
        <f>F4/G4*D31</f>
        <v>107510.81124412417</v>
      </c>
      <c r="G31" s="45"/>
      <c r="H31" s="45">
        <f>H4/D53*D31+1216.09+1080</f>
        <v>21046.216950790033</v>
      </c>
      <c r="I31" s="60"/>
      <c r="J31" s="47">
        <v>11869.62</v>
      </c>
      <c r="K31" s="45">
        <f>K4/D53*D31</f>
        <v>87438.44545683269</v>
      </c>
      <c r="L31" s="45">
        <f t="shared" si="0"/>
        <v>47636.465084882446</v>
      </c>
      <c r="M31" s="45">
        <f t="shared" si="2"/>
        <v>416659.897360736</v>
      </c>
      <c r="N31" s="45">
        <f t="shared" si="1"/>
        <v>329221.4519039033</v>
      </c>
      <c r="O31" s="45">
        <v>441684.1</v>
      </c>
      <c r="P31" s="45">
        <v>406526.7</v>
      </c>
      <c r="Q31" s="33">
        <f t="shared" si="3"/>
        <v>-10133.197360735969</v>
      </c>
      <c r="R31" s="42" t="s">
        <v>141</v>
      </c>
    </row>
    <row r="32" spans="1:18" s="3" customFormat="1" ht="52.5" customHeight="1" thickBot="1">
      <c r="A32" s="15">
        <v>23</v>
      </c>
      <c r="B32" s="19" t="s">
        <v>20</v>
      </c>
      <c r="C32" s="51">
        <v>1981</v>
      </c>
      <c r="D32" s="51">
        <v>878.4</v>
      </c>
      <c r="E32" s="45">
        <f>E4/D53*D32</f>
        <v>53508.003606613114</v>
      </c>
      <c r="F32" s="45">
        <f>F4/G4*D32</f>
        <v>30470.589035213972</v>
      </c>
      <c r="G32" s="45"/>
      <c r="H32" s="45">
        <f>H4/D53*D32</f>
        <v>5314.139164835274</v>
      </c>
      <c r="I32" s="45">
        <f>2179</f>
        <v>2179</v>
      </c>
      <c r="J32" s="47">
        <v>0</v>
      </c>
      <c r="K32" s="45">
        <f>K4/D53*D32</f>
        <v>24781.702477747178</v>
      </c>
      <c r="L32" s="45">
        <f t="shared" si="0"/>
        <v>13501.071509876661</v>
      </c>
      <c r="M32" s="45">
        <f t="shared" si="2"/>
        <v>116253.43428440954</v>
      </c>
      <c r="N32" s="45">
        <f t="shared" si="1"/>
        <v>91471.73180666236</v>
      </c>
      <c r="O32" s="45">
        <v>123734.97</v>
      </c>
      <c r="P32" s="45">
        <v>123045.73</v>
      </c>
      <c r="Q32" s="33">
        <f t="shared" si="3"/>
        <v>6792.295715590459</v>
      </c>
      <c r="R32" s="42" t="s">
        <v>127</v>
      </c>
    </row>
    <row r="33" spans="1:18" s="3" customFormat="1" ht="66.75" customHeight="1" thickBot="1">
      <c r="A33" s="15">
        <v>24</v>
      </c>
      <c r="B33" s="19" t="s">
        <v>24</v>
      </c>
      <c r="C33" s="51">
        <v>1981</v>
      </c>
      <c r="D33" s="51">
        <v>858.9</v>
      </c>
      <c r="E33" s="45">
        <f>E4/D53*D33</f>
        <v>52320.15516589253</v>
      </c>
      <c r="F33" s="45">
        <f>F4/G4*D33</f>
        <v>29794.158609227325</v>
      </c>
      <c r="G33" s="45"/>
      <c r="H33" s="45">
        <f>H4/D53*D33+32359.86</f>
        <v>37556.02817927711</v>
      </c>
      <c r="I33" s="45">
        <f>5389</f>
        <v>5389</v>
      </c>
      <c r="J33" s="47">
        <v>0</v>
      </c>
      <c r="K33" s="45">
        <f>K4/D53*D33</f>
        <v>24231.562224655114</v>
      </c>
      <c r="L33" s="45">
        <f t="shared" si="0"/>
        <v>13201.355099992104</v>
      </c>
      <c r="M33" s="45">
        <f t="shared" si="2"/>
        <v>149290.90417905207</v>
      </c>
      <c r="N33" s="45">
        <f t="shared" si="1"/>
        <v>125059.34195439695</v>
      </c>
      <c r="O33" s="45">
        <v>118860.9</v>
      </c>
      <c r="P33" s="45">
        <v>105055.46</v>
      </c>
      <c r="Q33" s="33">
        <f t="shared" si="3"/>
        <v>-44235.444179052065</v>
      </c>
      <c r="R33" s="42" t="s">
        <v>142</v>
      </c>
    </row>
    <row r="34" spans="1:18" s="2" customFormat="1" ht="52.5" customHeight="1" thickBot="1">
      <c r="A34" s="15">
        <v>25</v>
      </c>
      <c r="B34" s="19" t="s">
        <v>21</v>
      </c>
      <c r="C34" s="51">
        <v>1983</v>
      </c>
      <c r="D34" s="51">
        <v>3016.4</v>
      </c>
      <c r="E34" s="45">
        <f>E4/D53*D34</f>
        <v>183744.92495331034</v>
      </c>
      <c r="F34" s="45">
        <f>F4/G4*D34</f>
        <v>104635.11471518606</v>
      </c>
      <c r="G34" s="45"/>
      <c r="H34" s="45">
        <f>H4/D53*D34+1905.63</f>
        <v>20154.229017314574</v>
      </c>
      <c r="I34" s="60">
        <f>31540.95+40479.03+6245.93+845</f>
        <v>79110.91</v>
      </c>
      <c r="J34" s="47">
        <v>0</v>
      </c>
      <c r="K34" s="45">
        <f>K4/D53*D34</f>
        <v>85099.64407317463</v>
      </c>
      <c r="L34" s="45">
        <f t="shared" si="0"/>
        <v>46362.28609106553</v>
      </c>
      <c r="M34" s="45">
        <f t="shared" si="2"/>
        <v>472744.8227589856</v>
      </c>
      <c r="N34" s="45">
        <f t="shared" si="1"/>
        <v>387645.178685811</v>
      </c>
      <c r="O34" s="45">
        <v>420168.3</v>
      </c>
      <c r="P34" s="45">
        <v>404014.51</v>
      </c>
      <c r="Q34" s="33">
        <f t="shared" si="3"/>
        <v>-68730.31275898562</v>
      </c>
      <c r="R34" s="41" t="s">
        <v>56</v>
      </c>
    </row>
    <row r="35" spans="1:18" s="2" customFormat="1" ht="52.5" customHeight="1" thickBot="1">
      <c r="A35" s="15">
        <v>26</v>
      </c>
      <c r="B35" s="19" t="s">
        <v>22</v>
      </c>
      <c r="C35" s="51">
        <v>1982</v>
      </c>
      <c r="D35" s="51">
        <v>878.3</v>
      </c>
      <c r="E35" s="45">
        <f>E4/D53*D35</f>
        <v>53501.91207614788</v>
      </c>
      <c r="F35" s="45">
        <f>F4/G4*D35</f>
        <v>30467.120161234554</v>
      </c>
      <c r="G35" s="45"/>
      <c r="H35" s="45">
        <f>H4/D53*D35+35282.46+13569.78</f>
        <v>54165.77418542215</v>
      </c>
      <c r="I35" s="45"/>
      <c r="J35" s="47">
        <v>0</v>
      </c>
      <c r="K35" s="45">
        <f>K4/D53*D35</f>
        <v>24778.881245680037</v>
      </c>
      <c r="L35" s="45">
        <f t="shared" si="0"/>
        <v>13499.534502646484</v>
      </c>
      <c r="M35" s="45">
        <f t="shared" si="2"/>
        <v>162913.68766848464</v>
      </c>
      <c r="N35" s="45">
        <f>M35-K35</f>
        <v>138134.8064228046</v>
      </c>
      <c r="O35" s="45">
        <v>124120.34</v>
      </c>
      <c r="P35" s="45">
        <v>117780.93</v>
      </c>
      <c r="Q35" s="33">
        <f t="shared" si="3"/>
        <v>-45132.75766848464</v>
      </c>
      <c r="R35" s="42" t="s">
        <v>128</v>
      </c>
    </row>
    <row r="36" spans="1:18" s="2" customFormat="1" ht="52.5" customHeight="1" thickBot="1">
      <c r="A36" s="15">
        <v>27</v>
      </c>
      <c r="B36" s="19" t="s">
        <v>23</v>
      </c>
      <c r="C36" s="51">
        <v>1992</v>
      </c>
      <c r="D36" s="51">
        <v>2553.3</v>
      </c>
      <c r="E36" s="45">
        <f>E4/D53*D36</f>
        <v>155535.04736881293</v>
      </c>
      <c r="F36" s="45">
        <f>F4/G4*D36</f>
        <v>88570.759316498</v>
      </c>
      <c r="G36" s="45"/>
      <c r="H36" s="45">
        <f>H4/D53*D36+3088.57+20242.8</f>
        <v>38778.309355161546</v>
      </c>
      <c r="I36" s="45">
        <f>3615.77+15144</f>
        <v>18759.77</v>
      </c>
      <c r="J36" s="47">
        <v>0</v>
      </c>
      <c r="K36" s="45">
        <f>K4/D53*D36</f>
        <v>72034.51837025487</v>
      </c>
      <c r="L36" s="45">
        <f t="shared" si="0"/>
        <v>39244.405608114845</v>
      </c>
      <c r="M36" s="45">
        <f t="shared" si="2"/>
        <v>373678.4044107273</v>
      </c>
      <c r="N36" s="45">
        <f t="shared" si="1"/>
        <v>301643.8860404724</v>
      </c>
      <c r="O36" s="45">
        <v>390772.75</v>
      </c>
      <c r="P36" s="45">
        <v>369785.11</v>
      </c>
      <c r="Q36" s="33">
        <f t="shared" si="3"/>
        <v>-3893.294410727336</v>
      </c>
      <c r="R36" s="41" t="s">
        <v>60</v>
      </c>
    </row>
    <row r="37" spans="1:18" s="2" customFormat="1" ht="52.5" customHeight="1" thickBot="1">
      <c r="A37" s="15">
        <v>28</v>
      </c>
      <c r="B37" s="19" t="s">
        <v>25</v>
      </c>
      <c r="C37" s="51">
        <v>1987</v>
      </c>
      <c r="D37" s="51">
        <v>849.5</v>
      </c>
      <c r="E37" s="45">
        <f>E4/D53*D37</f>
        <v>51747.551302160566</v>
      </c>
      <c r="F37" s="45">
        <f>F4/G4*D37</f>
        <v>29468.084455161967</v>
      </c>
      <c r="G37" s="45"/>
      <c r="H37" s="45">
        <f>H4/D53*D37+281</f>
        <v>5420.300114443949</v>
      </c>
      <c r="I37" s="45">
        <f>772+409</f>
        <v>1181</v>
      </c>
      <c r="J37" s="47">
        <v>0</v>
      </c>
      <c r="K37" s="45">
        <f>K4/D53*D37</f>
        <v>23966.366410344068</v>
      </c>
      <c r="L37" s="45">
        <f t="shared" si="0"/>
        <v>13056.876420355447</v>
      </c>
      <c r="M37" s="45">
        <f t="shared" si="2"/>
        <v>111783.30228211056</v>
      </c>
      <c r="N37" s="45">
        <f t="shared" si="1"/>
        <v>87816.93587176649</v>
      </c>
      <c r="O37" s="45">
        <v>113691.94</v>
      </c>
      <c r="P37" s="45">
        <v>100667.61</v>
      </c>
      <c r="Q37" s="33">
        <f t="shared" si="3"/>
        <v>-11115.692282110555</v>
      </c>
      <c r="R37" s="42" t="s">
        <v>129</v>
      </c>
    </row>
    <row r="38" spans="1:18" s="2" customFormat="1" ht="52.5" customHeight="1" thickBot="1">
      <c r="A38" s="15">
        <v>29</v>
      </c>
      <c r="B38" s="19" t="s">
        <v>26</v>
      </c>
      <c r="C38" s="51">
        <v>1989</v>
      </c>
      <c r="D38" s="51">
        <v>856.7</v>
      </c>
      <c r="E38" s="45">
        <f>E4/D53*D38</f>
        <v>52186.14149565739</v>
      </c>
      <c r="F38" s="45">
        <f>F4/G4*D38</f>
        <v>29717.843381680115</v>
      </c>
      <c r="G38" s="45"/>
      <c r="H38" s="45">
        <f>H4/D53*D38+7355</f>
        <v>12537.858632188501</v>
      </c>
      <c r="I38" s="45">
        <v>772</v>
      </c>
      <c r="J38" s="47">
        <v>0</v>
      </c>
      <c r="K38" s="45">
        <f>K4/D53*D38</f>
        <v>24169.49511917806</v>
      </c>
      <c r="L38" s="45">
        <f t="shared" si="0"/>
        <v>13167.540940928206</v>
      </c>
      <c r="M38" s="45">
        <f t="shared" si="2"/>
        <v>119383.33862870408</v>
      </c>
      <c r="N38" s="45">
        <f t="shared" si="1"/>
        <v>95213.84350952602</v>
      </c>
      <c r="O38" s="45">
        <v>120770.86</v>
      </c>
      <c r="P38" s="45">
        <v>110606.26</v>
      </c>
      <c r="Q38" s="33">
        <f t="shared" si="3"/>
        <v>-8777.078628704083</v>
      </c>
      <c r="R38" s="42" t="s">
        <v>130</v>
      </c>
    </row>
    <row r="39" spans="1:18" s="2" customFormat="1" ht="52.5" customHeight="1" thickBot="1">
      <c r="A39" s="15">
        <v>30</v>
      </c>
      <c r="B39" s="19" t="s">
        <v>45</v>
      </c>
      <c r="C39" s="51">
        <v>1990</v>
      </c>
      <c r="D39" s="51">
        <v>996.3</v>
      </c>
      <c r="E39" s="45">
        <f>E4/D53*D39</f>
        <v>60689.91802512368</v>
      </c>
      <c r="F39" s="45">
        <f>F4/G4*D39</f>
        <v>34560.39145694864</v>
      </c>
      <c r="G39" s="45">
        <v>101932</v>
      </c>
      <c r="H39" s="45">
        <f>H4/D53*D39+2879.93</f>
        <v>8907.339892902302</v>
      </c>
      <c r="I39" s="45"/>
      <c r="J39" s="47">
        <v>0</v>
      </c>
      <c r="K39" s="45">
        <f>K4/D53*D39</f>
        <v>28107.935084903816</v>
      </c>
      <c r="L39" s="45">
        <f t="shared" si="0"/>
        <v>15313.203034255597</v>
      </c>
      <c r="M39" s="45">
        <f t="shared" si="2"/>
        <v>234197.58445987842</v>
      </c>
      <c r="N39" s="45">
        <f t="shared" si="1"/>
        <v>206089.6493749746</v>
      </c>
      <c r="O39" s="45">
        <v>152221.9</v>
      </c>
      <c r="P39" s="45">
        <v>122287.86</v>
      </c>
      <c r="Q39" s="57">
        <f t="shared" si="3"/>
        <v>-111909.72445987842</v>
      </c>
      <c r="R39" s="42" t="s">
        <v>113</v>
      </c>
    </row>
    <row r="40" spans="1:18" s="2" customFormat="1" ht="52.5" customHeight="1" thickBot="1">
      <c r="A40" s="15">
        <v>31</v>
      </c>
      <c r="B40" s="19" t="s">
        <v>46</v>
      </c>
      <c r="C40" s="51">
        <v>1990</v>
      </c>
      <c r="D40" s="52">
        <v>619</v>
      </c>
      <c r="E40" s="45">
        <f>E4/D53*D40</f>
        <v>37706.57357979681</v>
      </c>
      <c r="F40" s="45">
        <v>0</v>
      </c>
      <c r="G40" s="45"/>
      <c r="H40" s="45">
        <f>H4/D53*D40</f>
        <v>3744.822567205185</v>
      </c>
      <c r="I40" s="96">
        <f>3380</f>
        <v>3380</v>
      </c>
      <c r="J40" s="47">
        <v>0</v>
      </c>
      <c r="K40" s="45">
        <f>K4/D53*D40</f>
        <v>17463.426495589145</v>
      </c>
      <c r="L40" s="45">
        <f t="shared" si="0"/>
        <v>9514.074754796966</v>
      </c>
      <c r="M40" s="45">
        <f t="shared" si="2"/>
        <v>62294.82264259114</v>
      </c>
      <c r="N40" s="45">
        <f t="shared" si="1"/>
        <v>44831.396147002</v>
      </c>
      <c r="O40" s="45">
        <v>81032.52</v>
      </c>
      <c r="P40" s="45">
        <v>70051.18</v>
      </c>
      <c r="Q40" s="33">
        <f t="shared" si="3"/>
        <v>7756.357357408851</v>
      </c>
      <c r="R40" s="42" t="s">
        <v>131</v>
      </c>
    </row>
    <row r="41" spans="1:18" s="2" customFormat="1" ht="52.5" customHeight="1" thickBot="1">
      <c r="A41" s="15">
        <v>32</v>
      </c>
      <c r="B41" s="19" t="s">
        <v>40</v>
      </c>
      <c r="C41" s="51">
        <v>1988</v>
      </c>
      <c r="D41" s="51">
        <v>373.2</v>
      </c>
      <c r="E41" s="45">
        <f>E4/D53*D41</f>
        <v>22733.591696252293</v>
      </c>
      <c r="F41" s="45">
        <f>F4/G4*D41</f>
        <v>12945.837691190636</v>
      </c>
      <c r="G41" s="45"/>
      <c r="H41" s="45">
        <f>H4/D53*D41</f>
        <v>2257.7831697592487</v>
      </c>
      <c r="I41" s="60"/>
      <c r="J41" s="47">
        <v>0</v>
      </c>
      <c r="K41" s="45">
        <f>K4/D53*D41</f>
        <v>10528.838074561983</v>
      </c>
      <c r="L41" s="45">
        <f t="shared" si="0"/>
        <v>5736.110983021368</v>
      </c>
      <c r="M41" s="45">
        <f t="shared" si="2"/>
        <v>48466.050631764156</v>
      </c>
      <c r="N41" s="45">
        <f t="shared" si="1"/>
        <v>37937.212557202176</v>
      </c>
      <c r="O41" s="45">
        <v>44246.64</v>
      </c>
      <c r="P41" s="45">
        <v>41656.81</v>
      </c>
      <c r="Q41" s="33">
        <f t="shared" si="3"/>
        <v>-6809.240631764158</v>
      </c>
      <c r="R41" s="41" t="s">
        <v>109</v>
      </c>
    </row>
    <row r="42" spans="1:18" s="2" customFormat="1" ht="52.5" customHeight="1" thickBot="1">
      <c r="A42" s="15">
        <v>33</v>
      </c>
      <c r="B42" s="19" t="s">
        <v>27</v>
      </c>
      <c r="C42" s="51">
        <v>1964</v>
      </c>
      <c r="D42" s="51">
        <v>376.6</v>
      </c>
      <c r="E42" s="45">
        <f>E4/D53*D42</f>
        <v>22940.70373207024</v>
      </c>
      <c r="F42" s="45">
        <v>0</v>
      </c>
      <c r="G42" s="45"/>
      <c r="H42" s="45">
        <f>H4/D53*D42</f>
        <v>2278.352469805287</v>
      </c>
      <c r="I42" s="45"/>
      <c r="J42" s="47">
        <v>0</v>
      </c>
      <c r="K42" s="45">
        <f>K4/D53*D42</f>
        <v>10624.759964844703</v>
      </c>
      <c r="L42" s="45">
        <f t="shared" si="0"/>
        <v>5788.369228847394</v>
      </c>
      <c r="M42" s="45">
        <f t="shared" si="2"/>
        <v>35843.81616672023</v>
      </c>
      <c r="N42" s="45">
        <f t="shared" si="1"/>
        <v>25219.056201875526</v>
      </c>
      <c r="O42" s="45">
        <v>30730.56</v>
      </c>
      <c r="P42" s="45">
        <v>27446.69</v>
      </c>
      <c r="Q42" s="33">
        <f t="shared" si="3"/>
        <v>-8397.12616672023</v>
      </c>
      <c r="R42" s="41"/>
    </row>
    <row r="43" spans="1:18" s="2" customFormat="1" ht="52.5" customHeight="1" thickBot="1">
      <c r="A43" s="15">
        <v>34</v>
      </c>
      <c r="B43" s="19" t="s">
        <v>28</v>
      </c>
      <c r="C43" s="51">
        <v>1954</v>
      </c>
      <c r="D43" s="51">
        <v>400.3</v>
      </c>
      <c r="E43" s="45">
        <f>E4/D53*D43</f>
        <v>24384.396452330635</v>
      </c>
      <c r="F43" s="45">
        <v>0</v>
      </c>
      <c r="G43" s="45"/>
      <c r="H43" s="45">
        <f>H4/D53*D43+201.91</f>
        <v>2623.6425907144353</v>
      </c>
      <c r="I43" s="45">
        <f>19940.58+20539.85</f>
        <v>40480.43</v>
      </c>
      <c r="J43" s="47">
        <v>0</v>
      </c>
      <c r="K43" s="45">
        <f>K4/D53*D43</f>
        <v>11293.391964756598</v>
      </c>
      <c r="L43" s="45">
        <f t="shared" si="0"/>
        <v>6152.639942399394</v>
      </c>
      <c r="M43" s="45">
        <f t="shared" si="2"/>
        <v>78781.86100780166</v>
      </c>
      <c r="N43" s="45">
        <f t="shared" si="1"/>
        <v>67488.46904304507</v>
      </c>
      <c r="O43" s="45">
        <v>32068.8</v>
      </c>
      <c r="P43" s="45">
        <v>30140.44</v>
      </c>
      <c r="Q43" s="33">
        <f t="shared" si="3"/>
        <v>-48641.42100780166</v>
      </c>
      <c r="R43" s="41"/>
    </row>
    <row r="44" spans="1:18" s="2" customFormat="1" ht="52.5" customHeight="1" thickBot="1">
      <c r="A44" s="15">
        <v>35</v>
      </c>
      <c r="B44" s="19" t="s">
        <v>30</v>
      </c>
      <c r="C44" s="51">
        <v>1970</v>
      </c>
      <c r="D44" s="51">
        <v>708.6</v>
      </c>
      <c r="E44" s="45">
        <f>E4/D53*D44</f>
        <v>43164.58487664624</v>
      </c>
      <c r="F44" s="45">
        <v>0</v>
      </c>
      <c r="G44" s="45"/>
      <c r="H44" s="45">
        <f>H4/D53*D44</f>
        <v>4286.884121359602</v>
      </c>
      <c r="I44" s="45"/>
      <c r="J44" s="47">
        <v>0</v>
      </c>
      <c r="K44" s="45">
        <f>K4/D53*D44</f>
        <v>19991.250427745505</v>
      </c>
      <c r="L44" s="45">
        <f t="shared" si="0"/>
        <v>10891.23323303575</v>
      </c>
      <c r="M44" s="45">
        <f t="shared" si="2"/>
        <v>67442.71942575135</v>
      </c>
      <c r="N44" s="45">
        <f t="shared" si="1"/>
        <v>47451.46899800585</v>
      </c>
      <c r="O44" s="45">
        <v>70151.4</v>
      </c>
      <c r="P44" s="45">
        <v>69744.6</v>
      </c>
      <c r="Q44" s="57">
        <f t="shared" si="3"/>
        <v>2301.8805742486584</v>
      </c>
      <c r="R44" s="41" t="s">
        <v>98</v>
      </c>
    </row>
    <row r="45" spans="1:18" s="2" customFormat="1" ht="52.5" customHeight="1" thickBot="1">
      <c r="A45" s="15">
        <v>36</v>
      </c>
      <c r="B45" s="19" t="s">
        <v>31</v>
      </c>
      <c r="C45" s="51">
        <v>1983</v>
      </c>
      <c r="D45" s="51">
        <v>383.1</v>
      </c>
      <c r="E45" s="45">
        <f>E4/D53*D45</f>
        <v>23336.653212310433</v>
      </c>
      <c r="F45" s="45">
        <f>F4/G4*D45</f>
        <v>13289.25621515309</v>
      </c>
      <c r="G45" s="45"/>
      <c r="H45" s="45">
        <f>H4/D53*D45</f>
        <v>2317.676131658007</v>
      </c>
      <c r="I45" s="60"/>
      <c r="J45" s="47">
        <v>0</v>
      </c>
      <c r="K45" s="45">
        <f>K4/D53*D45</f>
        <v>10808.140049208725</v>
      </c>
      <c r="L45" s="45">
        <f t="shared" si="0"/>
        <v>5888.274698808913</v>
      </c>
      <c r="M45" s="45">
        <f t="shared" si="2"/>
        <v>49751.72560833026</v>
      </c>
      <c r="N45" s="45">
        <f t="shared" si="1"/>
        <v>38943.58555912153</v>
      </c>
      <c r="O45" s="45">
        <v>50477.28</v>
      </c>
      <c r="P45" s="45">
        <v>51983.35</v>
      </c>
      <c r="Q45" s="33">
        <f t="shared" si="3"/>
        <v>2231.624391669742</v>
      </c>
      <c r="R45" s="41" t="s">
        <v>99</v>
      </c>
    </row>
    <row r="46" spans="1:18" s="2" customFormat="1" ht="52.5" customHeight="1" thickBot="1">
      <c r="A46" s="15">
        <v>37</v>
      </c>
      <c r="B46" s="39" t="s">
        <v>32</v>
      </c>
      <c r="C46" s="51">
        <v>1987</v>
      </c>
      <c r="D46" s="51">
        <v>4309.4</v>
      </c>
      <c r="E46" s="45">
        <f>E4/D53*D46</f>
        <v>262508.41386878246</v>
      </c>
      <c r="F46" s="45">
        <f>F4/G4*D46</f>
        <v>149487.65526907</v>
      </c>
      <c r="G46" s="45"/>
      <c r="H46" s="45">
        <f>H4/D53*D46</f>
        <v>26070.98282894026</v>
      </c>
      <c r="I46" s="45">
        <f>859</f>
        <v>859</v>
      </c>
      <c r="J46" s="47">
        <v>11878.82</v>
      </c>
      <c r="K46" s="45">
        <f>K4/D53*D46</f>
        <v>121578.17470127923</v>
      </c>
      <c r="L46" s="45">
        <f t="shared" si="0"/>
        <v>66235.78957725692</v>
      </c>
      <c r="M46" s="45">
        <f t="shared" si="2"/>
        <v>572383.046668072</v>
      </c>
      <c r="N46" s="45">
        <f t="shared" si="1"/>
        <v>450804.87196679274</v>
      </c>
      <c r="O46" s="45">
        <v>642029.27</v>
      </c>
      <c r="P46" s="45">
        <v>643112.61</v>
      </c>
      <c r="Q46" s="33">
        <f t="shared" si="3"/>
        <v>70729.56333192799</v>
      </c>
      <c r="R46" s="42" t="s">
        <v>114</v>
      </c>
    </row>
    <row r="47" spans="1:18" s="2" customFormat="1" ht="52.5" customHeight="1" thickBot="1">
      <c r="A47" s="15">
        <v>38</v>
      </c>
      <c r="B47" s="19" t="s">
        <v>33</v>
      </c>
      <c r="C47" s="51">
        <v>1986</v>
      </c>
      <c r="D47" s="51">
        <v>841.6</v>
      </c>
      <c r="E47" s="45">
        <f>E4/D53*D47</f>
        <v>51266.3203954071</v>
      </c>
      <c r="F47" s="45">
        <f>F4/G4*D47</f>
        <v>29194.043410787886</v>
      </c>
      <c r="G47" s="45"/>
      <c r="H47" s="45">
        <f>H4/D53*D47+5542.82+3330.88</f>
        <v>13965.206740807567</v>
      </c>
      <c r="I47" s="45">
        <f>6182.72</f>
        <v>6182.72</v>
      </c>
      <c r="J47" s="47">
        <v>0</v>
      </c>
      <c r="K47" s="45">
        <f>K4/D53*D47</f>
        <v>23743.489077040103</v>
      </c>
      <c r="L47" s="45">
        <f t="shared" si="0"/>
        <v>12935.452849171446</v>
      </c>
      <c r="M47" s="45">
        <f t="shared" si="2"/>
        <v>124351.77962404265</v>
      </c>
      <c r="N47" s="45">
        <f t="shared" si="1"/>
        <v>100608.29054700254</v>
      </c>
      <c r="O47" s="45">
        <v>119122.36</v>
      </c>
      <c r="P47" s="45">
        <v>118396.48</v>
      </c>
      <c r="Q47" s="33">
        <f t="shared" si="3"/>
        <v>-5955.299624042658</v>
      </c>
      <c r="R47" s="42" t="s">
        <v>115</v>
      </c>
    </row>
    <row r="48" spans="1:19" s="2" customFormat="1" ht="52.5" customHeight="1" thickBot="1">
      <c r="A48" s="15">
        <v>39</v>
      </c>
      <c r="B48" s="20" t="s">
        <v>34</v>
      </c>
      <c r="C48" s="51">
        <v>1987</v>
      </c>
      <c r="D48" s="51">
        <v>871.2</v>
      </c>
      <c r="E48" s="45">
        <f>E4/D53*D48</f>
        <v>53069.41341311629</v>
      </c>
      <c r="F48" s="45">
        <f>F4/G4*D48</f>
        <v>30220.830108695827</v>
      </c>
      <c r="G48" s="45"/>
      <c r="H48" s="45">
        <f>H4/D53*D48+2976.97+5401.3+3960.89</f>
        <v>17609.740647090723</v>
      </c>
      <c r="I48" s="45">
        <f>6182.72</f>
        <v>6182.72</v>
      </c>
      <c r="J48" s="47">
        <v>0</v>
      </c>
      <c r="K48" s="45">
        <f>K4/D53*D48</f>
        <v>24578.573768913186</v>
      </c>
      <c r="L48" s="45">
        <f t="shared" si="0"/>
        <v>13390.406989303903</v>
      </c>
      <c r="M48" s="45">
        <f t="shared" si="2"/>
        <v>131661.27793781602</v>
      </c>
      <c r="N48" s="45">
        <f t="shared" si="1"/>
        <v>107082.70416890283</v>
      </c>
      <c r="O48" s="45">
        <v>124999.3</v>
      </c>
      <c r="P48" s="45">
        <v>124417.84</v>
      </c>
      <c r="Q48" s="33">
        <f t="shared" si="3"/>
        <v>-7243.437937816023</v>
      </c>
      <c r="R48" s="42" t="s">
        <v>122</v>
      </c>
      <c r="S48" s="2" t="s">
        <v>118</v>
      </c>
    </row>
    <row r="49" spans="1:18" s="2" customFormat="1" ht="52.5" customHeight="1" thickBot="1">
      <c r="A49" s="15">
        <v>40</v>
      </c>
      <c r="B49" s="20" t="s">
        <v>35</v>
      </c>
      <c r="C49" s="51">
        <v>1983</v>
      </c>
      <c r="D49" s="51">
        <v>826.2</v>
      </c>
      <c r="E49" s="45">
        <f>E4/D53*D49</f>
        <v>50328.22470376111</v>
      </c>
      <c r="F49" s="45">
        <f>F4/G4*D49</f>
        <v>28659.836817957406</v>
      </c>
      <c r="G49" s="45"/>
      <c r="H49" s="45">
        <f>H4/D53*D49</f>
        <v>4998.339911187276</v>
      </c>
      <c r="I49" s="45">
        <f>6182.72</f>
        <v>6182.72</v>
      </c>
      <c r="J49" s="47">
        <v>0</v>
      </c>
      <c r="K49" s="45">
        <f>K4/D53*D49</f>
        <v>23309.019338700728</v>
      </c>
      <c r="L49" s="45">
        <f t="shared" si="0"/>
        <v>12698.753735724154</v>
      </c>
      <c r="M49" s="45">
        <f t="shared" si="2"/>
        <v>113478.14077160652</v>
      </c>
      <c r="N49" s="45">
        <f t="shared" si="1"/>
        <v>90169.12143290578</v>
      </c>
      <c r="O49" s="45">
        <v>110801.27</v>
      </c>
      <c r="P49" s="45">
        <v>110195.8</v>
      </c>
      <c r="Q49" s="33">
        <f t="shared" si="3"/>
        <v>-3282.340771606512</v>
      </c>
      <c r="R49" s="42" t="s">
        <v>134</v>
      </c>
    </row>
    <row r="50" spans="1:18" s="2" customFormat="1" ht="52.5" customHeight="1" thickBot="1">
      <c r="A50" s="15">
        <v>41</v>
      </c>
      <c r="B50" s="19" t="s">
        <v>36</v>
      </c>
      <c r="C50" s="51">
        <v>1987</v>
      </c>
      <c r="D50" s="51">
        <v>4280.1</v>
      </c>
      <c r="E50" s="45">
        <f>E4/D53*D50</f>
        <v>260723.59544246906</v>
      </c>
      <c r="F50" s="45">
        <f>F4/G4*D50</f>
        <v>148471.27519310033</v>
      </c>
      <c r="G50" s="45"/>
      <c r="H50" s="45">
        <f>H4/D53*D50</f>
        <v>25893.723860896465</v>
      </c>
      <c r="I50" s="45">
        <f>1447.67+859+29051</f>
        <v>31357.67</v>
      </c>
      <c r="J50" s="47">
        <v>11878.82</v>
      </c>
      <c r="K50" s="45">
        <f>K4/D53*D50</f>
        <v>120751.55370560758</v>
      </c>
      <c r="L50" s="45">
        <f t="shared" si="0"/>
        <v>65785.446458815</v>
      </c>
      <c r="M50" s="45">
        <f t="shared" si="2"/>
        <v>599076.6382020734</v>
      </c>
      <c r="N50" s="45">
        <f t="shared" si="1"/>
        <v>478325.0844964658</v>
      </c>
      <c r="O50" s="45">
        <v>603869.61</v>
      </c>
      <c r="P50" s="45">
        <v>595743.73</v>
      </c>
      <c r="Q50" s="33">
        <f t="shared" si="3"/>
        <v>-3332.9082020734204</v>
      </c>
      <c r="R50" s="42" t="s">
        <v>116</v>
      </c>
    </row>
    <row r="51" spans="1:18" s="2" customFormat="1" ht="52.5" customHeight="1" thickBot="1">
      <c r="A51" s="15">
        <v>42</v>
      </c>
      <c r="B51" s="38" t="s">
        <v>37</v>
      </c>
      <c r="C51" s="51">
        <v>1985</v>
      </c>
      <c r="D51" s="51">
        <v>4234.9</v>
      </c>
      <c r="E51" s="45">
        <f>E4/D53*D51</f>
        <v>257970.22367218335</v>
      </c>
      <c r="F51" s="45">
        <f>F4/G4*D51</f>
        <v>146903.34415440305</v>
      </c>
      <c r="G51" s="45"/>
      <c r="H51" s="45">
        <f>H4/D53*D51+48850.1+787.39</f>
        <v>75257.76316616677</v>
      </c>
      <c r="I51" s="45">
        <f>1310+6952+750445</f>
        <v>758707</v>
      </c>
      <c r="J51" s="47">
        <v>11878.82</v>
      </c>
      <c r="K51" s="45">
        <f>K4/D53*D51</f>
        <v>119476.35681126083</v>
      </c>
      <c r="L51" s="45">
        <f t="shared" si="0"/>
        <v>65090.71919077489</v>
      </c>
      <c r="M51" s="45">
        <f t="shared" si="2"/>
        <v>1370193.507804014</v>
      </c>
      <c r="N51" s="45">
        <f t="shared" si="1"/>
        <v>1250717.1509927532</v>
      </c>
      <c r="O51" s="45">
        <v>637725.19</v>
      </c>
      <c r="P51" s="45">
        <v>630188.89</v>
      </c>
      <c r="Q51" s="33">
        <f t="shared" si="3"/>
        <v>-740004.617804014</v>
      </c>
      <c r="R51" s="41" t="s">
        <v>100</v>
      </c>
    </row>
    <row r="52" spans="1:18" s="2" customFormat="1" ht="52.5" customHeight="1" thickBot="1">
      <c r="A52" s="15">
        <v>43</v>
      </c>
      <c r="B52" s="20" t="s">
        <v>38</v>
      </c>
      <c r="C52" s="51">
        <v>1986</v>
      </c>
      <c r="D52" s="51">
        <v>843.8</v>
      </c>
      <c r="E52" s="45">
        <f>E4/D53*D52</f>
        <v>51400.33406564224</v>
      </c>
      <c r="F52" s="45">
        <f>F4/G4*D52</f>
        <v>29270.358638335096</v>
      </c>
      <c r="G52" s="45"/>
      <c r="H52" s="45">
        <f>H4/D53*D52+2262.28</f>
        <v>7367.096287896178</v>
      </c>
      <c r="I52" s="45">
        <f>3343.46</f>
        <v>3343.46</v>
      </c>
      <c r="J52" s="47">
        <v>0</v>
      </c>
      <c r="K52" s="45">
        <f>K4/D53*D52</f>
        <v>23805.556182517154</v>
      </c>
      <c r="L52" s="45">
        <f t="shared" si="0"/>
        <v>12969.267008235343</v>
      </c>
      <c r="M52" s="45">
        <f t="shared" si="2"/>
        <v>115186.80517439067</v>
      </c>
      <c r="N52" s="45">
        <f t="shared" si="1"/>
        <v>91381.24899187352</v>
      </c>
      <c r="O52" s="45">
        <v>119685.36</v>
      </c>
      <c r="P52" s="45">
        <v>109916.11</v>
      </c>
      <c r="Q52" s="33">
        <f t="shared" si="3"/>
        <v>-5270.695174390668</v>
      </c>
      <c r="R52" s="41" t="s">
        <v>101</v>
      </c>
    </row>
    <row r="53" spans="1:18" ht="52.5" customHeight="1" thickBot="1">
      <c r="A53" s="28"/>
      <c r="B53" s="21" t="s">
        <v>74</v>
      </c>
      <c r="C53" s="53"/>
      <c r="D53" s="54">
        <f aca="true" t="shared" si="4" ref="D53:I53">SUM(D10:D52)</f>
        <v>64468.240000000005</v>
      </c>
      <c r="E53" s="46">
        <f t="shared" si="4"/>
        <v>3927102.4799999995</v>
      </c>
      <c r="F53" s="46">
        <f t="shared" si="4"/>
        <v>2157044.3564235712</v>
      </c>
      <c r="G53" s="46">
        <f t="shared" si="4"/>
        <v>270600</v>
      </c>
      <c r="H53" s="46">
        <f t="shared" si="4"/>
        <v>680765.48</v>
      </c>
      <c r="I53" s="46">
        <f t="shared" si="4"/>
        <v>1785400.0899999999</v>
      </c>
      <c r="J53" s="46">
        <f aca="true" t="shared" si="5" ref="J53:Q53">SUM(J10:J52)</f>
        <v>86526.43</v>
      </c>
      <c r="K53" s="46">
        <f t="shared" si="5"/>
        <v>1818798.6599999997</v>
      </c>
      <c r="L53" s="46">
        <f t="shared" si="5"/>
        <v>990881.5099679996</v>
      </c>
      <c r="M53" s="46">
        <f t="shared" si="5"/>
        <v>10726237.496423569</v>
      </c>
      <c r="N53" s="46">
        <f t="shared" si="5"/>
        <v>8907438.83642357</v>
      </c>
      <c r="O53" s="46">
        <f t="shared" si="5"/>
        <v>9009841.090000002</v>
      </c>
      <c r="P53" s="46">
        <f t="shared" si="5"/>
        <v>8644995.93</v>
      </c>
      <c r="Q53" s="34">
        <f t="shared" si="5"/>
        <v>-2081241.5664235705</v>
      </c>
      <c r="R53" s="41"/>
    </row>
    <row r="54" spans="1:18" ht="52.5" customHeight="1" thickBot="1">
      <c r="A54" s="18" t="s">
        <v>2</v>
      </c>
      <c r="B54" s="19" t="s">
        <v>75</v>
      </c>
      <c r="C54" s="55">
        <v>1973</v>
      </c>
      <c r="D54" s="56">
        <v>331.1</v>
      </c>
      <c r="E54" s="47">
        <f>E3/D69*$D$54</f>
        <v>3786.5965233302845</v>
      </c>
      <c r="F54" s="47"/>
      <c r="G54" s="47"/>
      <c r="H54" s="61"/>
      <c r="I54" s="61"/>
      <c r="J54" s="47">
        <v>0</v>
      </c>
      <c r="K54" s="47">
        <f>K3/D69*D54</f>
        <v>22578.539664531872</v>
      </c>
      <c r="L54" s="47">
        <f>K54*54.48%</f>
        <v>12300.788409236962</v>
      </c>
      <c r="M54" s="45">
        <f t="shared" si="2"/>
        <v>26365.136187862157</v>
      </c>
      <c r="N54" s="47">
        <f>M54-K54</f>
        <v>3786.596523330285</v>
      </c>
      <c r="O54" s="47">
        <v>35358.3</v>
      </c>
      <c r="P54" s="47">
        <v>29195.58</v>
      </c>
      <c r="Q54" s="33">
        <f>P54-M54</f>
        <v>2830.4438121378444</v>
      </c>
      <c r="R54" s="42" t="s">
        <v>136</v>
      </c>
    </row>
    <row r="55" spans="1:18" ht="52.5" customHeight="1" thickBot="1">
      <c r="A55" s="18">
        <v>2</v>
      </c>
      <c r="B55" s="19" t="s">
        <v>76</v>
      </c>
      <c r="C55" s="55">
        <v>1976</v>
      </c>
      <c r="D55" s="55">
        <v>371.4</v>
      </c>
      <c r="E55" s="47">
        <f>E3/D69*D55</f>
        <v>4247.483989021043</v>
      </c>
      <c r="F55" s="47"/>
      <c r="G55" s="47"/>
      <c r="H55" s="61"/>
      <c r="I55" s="61"/>
      <c r="J55" s="47">
        <v>0</v>
      </c>
      <c r="K55" s="47">
        <f>K3/D69*D55</f>
        <v>25326.697769275554</v>
      </c>
      <c r="L55" s="47">
        <f aca="true" t="shared" si="6" ref="L55:L68">K55*54.48%</f>
        <v>13797.98494470132</v>
      </c>
      <c r="M55" s="45">
        <f t="shared" si="2"/>
        <v>29574.181758296596</v>
      </c>
      <c r="N55" s="47">
        <f aca="true" t="shared" si="7" ref="N55:N72">M55-K55</f>
        <v>4247.483989021042</v>
      </c>
      <c r="O55" s="47">
        <v>35788.5</v>
      </c>
      <c r="P55" s="47">
        <v>29722.89</v>
      </c>
      <c r="Q55" s="33">
        <f aca="true" t="shared" si="8" ref="Q55:Q68">P55-M55</f>
        <v>148.70824170340347</v>
      </c>
      <c r="R55" s="41" t="s">
        <v>102</v>
      </c>
    </row>
    <row r="56" spans="1:18" ht="52.5" customHeight="1" thickBot="1">
      <c r="A56" s="18">
        <v>3</v>
      </c>
      <c r="B56" s="19" t="s">
        <v>77</v>
      </c>
      <c r="C56" s="55">
        <v>1975</v>
      </c>
      <c r="D56" s="55">
        <v>371.4</v>
      </c>
      <c r="E56" s="47">
        <f>E3/D69*D56</f>
        <v>4247.483989021043</v>
      </c>
      <c r="F56" s="47"/>
      <c r="G56" s="47"/>
      <c r="H56" s="61"/>
      <c r="I56" s="61"/>
      <c r="J56" s="47">
        <v>0</v>
      </c>
      <c r="K56" s="47">
        <f>K3/D69*D56</f>
        <v>25326.697769275554</v>
      </c>
      <c r="L56" s="47">
        <f t="shared" si="6"/>
        <v>13797.98494470132</v>
      </c>
      <c r="M56" s="45">
        <f t="shared" si="2"/>
        <v>29574.181758296596</v>
      </c>
      <c r="N56" s="47">
        <f t="shared" si="7"/>
        <v>4247.483989021042</v>
      </c>
      <c r="O56" s="47">
        <v>25532.1</v>
      </c>
      <c r="P56" s="47">
        <v>24007.72</v>
      </c>
      <c r="Q56" s="33">
        <f t="shared" si="8"/>
        <v>-5566.461758296595</v>
      </c>
      <c r="R56" s="42" t="s">
        <v>117</v>
      </c>
    </row>
    <row r="57" spans="1:18" ht="52.5" customHeight="1" thickBot="1">
      <c r="A57" s="18">
        <v>4</v>
      </c>
      <c r="B57" s="19" t="s">
        <v>78</v>
      </c>
      <c r="C57" s="55">
        <v>1986</v>
      </c>
      <c r="D57" s="55">
        <v>496.8</v>
      </c>
      <c r="E57" s="47">
        <f>E3/D69*D57</f>
        <v>5681.610247026533</v>
      </c>
      <c r="F57" s="47"/>
      <c r="G57" s="47"/>
      <c r="H57" s="61">
        <f>1172.5</f>
        <v>1172.5</v>
      </c>
      <c r="I57" s="61"/>
      <c r="J57" s="47">
        <v>0</v>
      </c>
      <c r="K57" s="47">
        <f>K3/D69*D57</f>
        <v>33878.038373118194</v>
      </c>
      <c r="L57" s="47">
        <f t="shared" si="6"/>
        <v>18456.75530567479</v>
      </c>
      <c r="M57" s="45">
        <f t="shared" si="2"/>
        <v>40732.148620144726</v>
      </c>
      <c r="N57" s="47">
        <f t="shared" si="7"/>
        <v>6854.110247026532</v>
      </c>
      <c r="O57" s="47">
        <v>48044.7</v>
      </c>
      <c r="P57" s="47">
        <v>47905.28</v>
      </c>
      <c r="Q57" s="57">
        <f t="shared" si="8"/>
        <v>7173.131379855273</v>
      </c>
      <c r="R57" s="42" t="s">
        <v>137</v>
      </c>
    </row>
    <row r="58" spans="1:18" ht="52.5" customHeight="1" thickBot="1">
      <c r="A58" s="18">
        <v>5</v>
      </c>
      <c r="B58" s="19" t="s">
        <v>79</v>
      </c>
      <c r="C58" s="55">
        <v>1981</v>
      </c>
      <c r="D58" s="55">
        <v>500.6</v>
      </c>
      <c r="E58" s="47">
        <f>E3/D69*D58</f>
        <v>5725.068618481246</v>
      </c>
      <c r="F58" s="47"/>
      <c r="G58" s="47"/>
      <c r="H58" s="61">
        <f>1172.5</f>
        <v>1172.5</v>
      </c>
      <c r="I58" s="61"/>
      <c r="J58" s="47">
        <v>0</v>
      </c>
      <c r="K58" s="47">
        <f>K3/D69*D58</f>
        <v>34137.16990656797</v>
      </c>
      <c r="L58" s="47">
        <f t="shared" si="6"/>
        <v>18597.93016509823</v>
      </c>
      <c r="M58" s="45">
        <f t="shared" si="2"/>
        <v>41034.738525049215</v>
      </c>
      <c r="N58" s="47">
        <f t="shared" si="7"/>
        <v>6897.568618481244</v>
      </c>
      <c r="O58" s="47">
        <v>47787.3</v>
      </c>
      <c r="P58" s="47">
        <v>47847.57</v>
      </c>
      <c r="Q58" s="57">
        <f t="shared" si="8"/>
        <v>6812.8314749507845</v>
      </c>
      <c r="R58" s="42" t="s">
        <v>138</v>
      </c>
    </row>
    <row r="59" spans="1:18" ht="52.5" customHeight="1" thickBot="1">
      <c r="A59" s="18">
        <v>6</v>
      </c>
      <c r="B59" s="19" t="s">
        <v>80</v>
      </c>
      <c r="C59" s="55">
        <v>1985</v>
      </c>
      <c r="D59" s="55">
        <v>491.2</v>
      </c>
      <c r="E59" s="47">
        <f>E3/D69*D59</f>
        <v>5617.566331198537</v>
      </c>
      <c r="F59" s="47"/>
      <c r="G59" s="47"/>
      <c r="H59" s="61"/>
      <c r="I59" s="61"/>
      <c r="J59" s="47">
        <v>0</v>
      </c>
      <c r="K59" s="47">
        <f>K3/D69*D59</f>
        <v>33496.16032382378</v>
      </c>
      <c r="L59" s="47">
        <f t="shared" si="6"/>
        <v>18248.708144419194</v>
      </c>
      <c r="M59" s="45">
        <f t="shared" si="2"/>
        <v>39113.726655022314</v>
      </c>
      <c r="N59" s="47">
        <f t="shared" si="7"/>
        <v>5617.566331198534</v>
      </c>
      <c r="O59" s="47">
        <v>49065</v>
      </c>
      <c r="P59" s="47">
        <v>49903.47</v>
      </c>
      <c r="Q59" s="57">
        <f t="shared" si="8"/>
        <v>10789.743344977687</v>
      </c>
      <c r="R59" s="42" t="s">
        <v>144</v>
      </c>
    </row>
    <row r="60" spans="1:18" ht="52.5" customHeight="1" thickBot="1">
      <c r="A60" s="18">
        <v>7</v>
      </c>
      <c r="B60" s="19" t="s">
        <v>81</v>
      </c>
      <c r="C60" s="55">
        <v>1966</v>
      </c>
      <c r="D60" s="55">
        <v>358.1</v>
      </c>
      <c r="E60" s="47">
        <f>E3/D69*D60</f>
        <v>4095.3796889295527</v>
      </c>
      <c r="F60" s="47"/>
      <c r="G60" s="47"/>
      <c r="H60" s="61"/>
      <c r="I60" s="61"/>
      <c r="J60" s="47">
        <v>0</v>
      </c>
      <c r="K60" s="47">
        <f>K3/D69*D60</f>
        <v>24419.73740220134</v>
      </c>
      <c r="L60" s="47">
        <f t="shared" si="6"/>
        <v>13303.872936719288</v>
      </c>
      <c r="M60" s="45">
        <f t="shared" si="2"/>
        <v>28515.11709113089</v>
      </c>
      <c r="N60" s="47">
        <f t="shared" si="7"/>
        <v>4095.379688929552</v>
      </c>
      <c r="O60" s="47">
        <v>37649.7</v>
      </c>
      <c r="P60" s="47">
        <v>33312</v>
      </c>
      <c r="Q60" s="57">
        <f t="shared" si="8"/>
        <v>4796.882908869109</v>
      </c>
      <c r="R60" s="42" t="s">
        <v>139</v>
      </c>
    </row>
    <row r="61" spans="1:18" ht="52.5" customHeight="1" thickBot="1">
      <c r="A61" s="18">
        <v>8</v>
      </c>
      <c r="B61" s="19" t="s">
        <v>82</v>
      </c>
      <c r="C61" s="55">
        <v>1985</v>
      </c>
      <c r="D61" s="55">
        <v>485.2</v>
      </c>
      <c r="E61" s="47">
        <f>E3/D69*D61</f>
        <v>5548.947849954255</v>
      </c>
      <c r="F61" s="47"/>
      <c r="G61" s="47"/>
      <c r="H61" s="61"/>
      <c r="I61" s="61"/>
      <c r="J61" s="47">
        <v>0</v>
      </c>
      <c r="K61" s="47">
        <f>K3/D69*D61</f>
        <v>33087.00527100835</v>
      </c>
      <c r="L61" s="47">
        <f t="shared" si="6"/>
        <v>18025.800471645347</v>
      </c>
      <c r="M61" s="45">
        <f t="shared" si="2"/>
        <v>38635.9531209626</v>
      </c>
      <c r="N61" s="47">
        <f t="shared" si="7"/>
        <v>5548.947849954253</v>
      </c>
      <c r="O61" s="47">
        <v>48411</v>
      </c>
      <c r="P61" s="47">
        <v>40316.85</v>
      </c>
      <c r="Q61" s="57">
        <f t="shared" si="8"/>
        <v>1680.8968790373983</v>
      </c>
      <c r="R61" s="42" t="s">
        <v>143</v>
      </c>
    </row>
    <row r="62" spans="1:18" ht="52.5" customHeight="1" thickBot="1">
      <c r="A62" s="18">
        <v>9</v>
      </c>
      <c r="B62" s="19" t="s">
        <v>83</v>
      </c>
      <c r="C62" s="55">
        <v>1962</v>
      </c>
      <c r="D62" s="56">
        <v>378</v>
      </c>
      <c r="E62" s="47">
        <f>E3/D69*D62</f>
        <v>4322.964318389753</v>
      </c>
      <c r="F62" s="47"/>
      <c r="G62" s="47"/>
      <c r="H62" s="61"/>
      <c r="I62" s="61"/>
      <c r="J62" s="47">
        <v>0</v>
      </c>
      <c r="K62" s="47">
        <f>K3/D69*D62</f>
        <v>25776.768327372534</v>
      </c>
      <c r="L62" s="47">
        <f t="shared" si="6"/>
        <v>14043.183384752556</v>
      </c>
      <c r="M62" s="45">
        <f t="shared" si="2"/>
        <v>30099.732645762288</v>
      </c>
      <c r="N62" s="47">
        <f t="shared" si="7"/>
        <v>4322.964318389753</v>
      </c>
      <c r="O62" s="47">
        <v>11755.38</v>
      </c>
      <c r="P62" s="47">
        <v>3997.5</v>
      </c>
      <c r="Q62" s="57">
        <f t="shared" si="8"/>
        <v>-26102.232645762288</v>
      </c>
      <c r="R62" s="41"/>
    </row>
    <row r="63" spans="1:18" ht="52.5" customHeight="1" thickBot="1">
      <c r="A63" s="18">
        <v>10</v>
      </c>
      <c r="B63" s="19" t="s">
        <v>84</v>
      </c>
      <c r="C63" s="55">
        <v>1963</v>
      </c>
      <c r="D63" s="55">
        <v>361.7</v>
      </c>
      <c r="E63" s="47">
        <f>E3/D69*D63</f>
        <v>4136.5507776761215</v>
      </c>
      <c r="F63" s="47"/>
      <c r="G63" s="47"/>
      <c r="H63" s="47"/>
      <c r="I63" s="47"/>
      <c r="J63" s="47">
        <v>0</v>
      </c>
      <c r="K63" s="47">
        <f>K3/D69*D63</f>
        <v>24665.230433890596</v>
      </c>
      <c r="L63" s="47">
        <f t="shared" si="6"/>
        <v>13437.617540383595</v>
      </c>
      <c r="M63" s="45">
        <f t="shared" si="2"/>
        <v>28801.78121156672</v>
      </c>
      <c r="N63" s="47">
        <f t="shared" si="7"/>
        <v>4136.550777676122</v>
      </c>
      <c r="O63" s="47">
        <v>34818.3</v>
      </c>
      <c r="P63" s="47">
        <v>32117.65</v>
      </c>
      <c r="Q63" s="57">
        <f t="shared" si="8"/>
        <v>3315.868788433283</v>
      </c>
      <c r="R63" s="41" t="s">
        <v>105</v>
      </c>
    </row>
    <row r="64" spans="1:18" ht="52.5" customHeight="1" thickBot="1">
      <c r="A64" s="18">
        <v>11</v>
      </c>
      <c r="B64" s="19" t="s">
        <v>85</v>
      </c>
      <c r="C64" s="55">
        <v>1968</v>
      </c>
      <c r="D64" s="55">
        <v>361.7</v>
      </c>
      <c r="E64" s="47">
        <f>E3/D69*D64</f>
        <v>4136.5507776761215</v>
      </c>
      <c r="F64" s="47"/>
      <c r="G64" s="47"/>
      <c r="H64" s="47"/>
      <c r="I64" s="47">
        <f>5257.81</f>
        <v>5257.81</v>
      </c>
      <c r="J64" s="47">
        <v>0</v>
      </c>
      <c r="K64" s="47">
        <f>K3/D69*D64</f>
        <v>24665.230433890596</v>
      </c>
      <c r="L64" s="47">
        <f t="shared" si="6"/>
        <v>13437.617540383595</v>
      </c>
      <c r="M64" s="45">
        <f t="shared" si="2"/>
        <v>34059.591211566716</v>
      </c>
      <c r="N64" s="47">
        <f t="shared" si="7"/>
        <v>9394.36077767612</v>
      </c>
      <c r="O64" s="47">
        <v>30888</v>
      </c>
      <c r="P64" s="47">
        <v>28660.35</v>
      </c>
      <c r="Q64" s="57">
        <f t="shared" si="8"/>
        <v>-5399.2412115667175</v>
      </c>
      <c r="R64" s="41" t="s">
        <v>104</v>
      </c>
    </row>
    <row r="65" spans="1:18" ht="52.5" customHeight="1" thickBot="1">
      <c r="A65" s="18">
        <v>12</v>
      </c>
      <c r="B65" s="19" t="s">
        <v>86</v>
      </c>
      <c r="C65" s="55">
        <v>1969</v>
      </c>
      <c r="D65" s="56">
        <v>336</v>
      </c>
      <c r="E65" s="47">
        <f>E3/D69*D65</f>
        <v>3842.634949679781</v>
      </c>
      <c r="F65" s="47"/>
      <c r="G65" s="47"/>
      <c r="H65" s="61"/>
      <c r="I65" s="97">
        <f>5257.81</f>
        <v>5257.81</v>
      </c>
      <c r="J65" s="47">
        <v>0</v>
      </c>
      <c r="K65" s="47">
        <f>K3/D69*D65</f>
        <v>22912.682957664478</v>
      </c>
      <c r="L65" s="47">
        <f t="shared" si="6"/>
        <v>12482.829675335606</v>
      </c>
      <c r="M65" s="45">
        <f t="shared" si="2"/>
        <v>32013.12790734426</v>
      </c>
      <c r="N65" s="47">
        <f t="shared" si="7"/>
        <v>9100.444949679782</v>
      </c>
      <c r="O65" s="47">
        <v>34927.2</v>
      </c>
      <c r="P65" s="47">
        <v>25525.11</v>
      </c>
      <c r="Q65" s="57">
        <f t="shared" si="8"/>
        <v>-6488.01790734426</v>
      </c>
      <c r="R65" s="42" t="s">
        <v>135</v>
      </c>
    </row>
    <row r="66" spans="1:18" ht="52.5" customHeight="1" thickBot="1">
      <c r="A66" s="18">
        <v>13</v>
      </c>
      <c r="B66" s="19" t="s">
        <v>87</v>
      </c>
      <c r="C66" s="55">
        <v>1971</v>
      </c>
      <c r="D66" s="56">
        <v>750.2</v>
      </c>
      <c r="E66" s="47">
        <f>E3/D69*D66</f>
        <v>8579.597438243369</v>
      </c>
      <c r="F66" s="47"/>
      <c r="G66" s="47"/>
      <c r="H66" s="61"/>
      <c r="I66" s="61"/>
      <c r="J66" s="47">
        <v>0</v>
      </c>
      <c r="K66" s="47">
        <f>K3/D69*D66</f>
        <v>51158.02010369015</v>
      </c>
      <c r="L66" s="47">
        <f t="shared" si="6"/>
        <v>27870.88935249039</v>
      </c>
      <c r="M66" s="45">
        <f t="shared" si="2"/>
        <v>59737.61754193352</v>
      </c>
      <c r="N66" s="47">
        <f t="shared" si="7"/>
        <v>8579.59743824337</v>
      </c>
      <c r="O66" s="47">
        <v>73289.76</v>
      </c>
      <c r="P66" s="47">
        <v>46146.28</v>
      </c>
      <c r="Q66" s="57">
        <f t="shared" si="8"/>
        <v>-13591.33754193352</v>
      </c>
      <c r="R66" s="42" t="s">
        <v>140</v>
      </c>
    </row>
    <row r="67" spans="1:18" ht="52.5" customHeight="1" thickBot="1">
      <c r="A67" s="18">
        <v>14</v>
      </c>
      <c r="B67" s="19" t="s">
        <v>88</v>
      </c>
      <c r="C67" s="55">
        <v>1979</v>
      </c>
      <c r="D67" s="55">
        <v>810.2</v>
      </c>
      <c r="E67" s="47">
        <f>E3/D69*D67</f>
        <v>9265.782250686187</v>
      </c>
      <c r="F67" s="47"/>
      <c r="G67" s="47"/>
      <c r="H67" s="61"/>
      <c r="I67" s="61"/>
      <c r="J67" s="47">
        <v>0</v>
      </c>
      <c r="K67" s="47">
        <f>K3/D69*D67</f>
        <v>55249.57063184452</v>
      </c>
      <c r="L67" s="47">
        <f t="shared" si="6"/>
        <v>30099.966080228893</v>
      </c>
      <c r="M67" s="45">
        <f t="shared" si="2"/>
        <v>64515.35288253071</v>
      </c>
      <c r="N67" s="47">
        <f t="shared" si="7"/>
        <v>9265.782250686185</v>
      </c>
      <c r="O67" s="47">
        <v>76064.1</v>
      </c>
      <c r="P67" s="47">
        <v>60464.8</v>
      </c>
      <c r="Q67" s="57">
        <f t="shared" si="8"/>
        <v>-4050.5528825307047</v>
      </c>
      <c r="R67" s="41" t="s">
        <v>103</v>
      </c>
    </row>
    <row r="68" spans="1:18" s="31" customFormat="1" ht="52.5" customHeight="1" thickBot="1">
      <c r="A68" s="68">
        <v>15</v>
      </c>
      <c r="B68" s="69" t="s">
        <v>89</v>
      </c>
      <c r="C68" s="70">
        <v>1979</v>
      </c>
      <c r="D68" s="70">
        <v>810.2</v>
      </c>
      <c r="E68" s="71">
        <f>E3/D69*D68</f>
        <v>9265.782250686187</v>
      </c>
      <c r="F68" s="71"/>
      <c r="G68" s="71"/>
      <c r="H68" s="71">
        <f>2603+2147.07</f>
        <v>4750.07</v>
      </c>
      <c r="I68" s="71"/>
      <c r="J68" s="71">
        <v>0</v>
      </c>
      <c r="K68" s="71">
        <f>K3/D69*D68</f>
        <v>55249.57063184452</v>
      </c>
      <c r="L68" s="71">
        <f t="shared" si="6"/>
        <v>30099.966080228893</v>
      </c>
      <c r="M68" s="72">
        <f t="shared" si="2"/>
        <v>69265.42288253071</v>
      </c>
      <c r="N68" s="71">
        <f t="shared" si="7"/>
        <v>14015.852250686185</v>
      </c>
      <c r="O68" s="71">
        <v>75131.1</v>
      </c>
      <c r="P68" s="71">
        <v>50509.9</v>
      </c>
      <c r="Q68" s="33">
        <f t="shared" si="8"/>
        <v>-18755.522882530706</v>
      </c>
      <c r="R68" s="73" t="s">
        <v>119</v>
      </c>
    </row>
    <row r="69" spans="1:18" ht="52.5" customHeight="1" thickBot="1">
      <c r="A69" s="28"/>
      <c r="B69" s="21" t="s">
        <v>39</v>
      </c>
      <c r="C69" s="53"/>
      <c r="D69" s="54">
        <f>SUM(D54:D68)</f>
        <v>7213.799999999999</v>
      </c>
      <c r="E69" s="46">
        <f>SUM(E54:E68)</f>
        <v>82500.00000000001</v>
      </c>
      <c r="F69" s="46">
        <f aca="true" t="shared" si="9" ref="F69:Q69">SUM(F54:F68)</f>
        <v>0</v>
      </c>
      <c r="G69" s="46">
        <f>SUM(G54:G68)</f>
        <v>0</v>
      </c>
      <c r="H69" s="46">
        <f t="shared" si="9"/>
        <v>7095.07</v>
      </c>
      <c r="I69" s="46">
        <f t="shared" si="9"/>
        <v>10515.62</v>
      </c>
      <c r="J69" s="46">
        <f t="shared" si="9"/>
        <v>0</v>
      </c>
      <c r="K69" s="46">
        <f t="shared" si="9"/>
        <v>491927.12</v>
      </c>
      <c r="L69" s="46">
        <f t="shared" si="9"/>
        <v>268001.89497599995</v>
      </c>
      <c r="M69" s="46">
        <f>SUM(M54:M68)</f>
        <v>592037.8099999999</v>
      </c>
      <c r="N69" s="46">
        <f t="shared" si="9"/>
        <v>100110.69</v>
      </c>
      <c r="O69" s="46">
        <f t="shared" si="9"/>
        <v>664510.44</v>
      </c>
      <c r="P69" s="46">
        <f t="shared" si="9"/>
        <v>549632.95</v>
      </c>
      <c r="Q69" s="34">
        <f t="shared" si="9"/>
        <v>-42404.86000000001</v>
      </c>
      <c r="R69" s="41"/>
    </row>
    <row r="70" spans="1:19" ht="52.5" customHeight="1" thickBot="1">
      <c r="A70" s="18" t="s">
        <v>2</v>
      </c>
      <c r="B70" s="19" t="s">
        <v>90</v>
      </c>
      <c r="C70" s="55">
        <v>1966</v>
      </c>
      <c r="D70" s="56">
        <v>434.8</v>
      </c>
      <c r="E70" s="47"/>
      <c r="F70" s="47"/>
      <c r="G70" s="47"/>
      <c r="H70" s="61" t="s">
        <v>91</v>
      </c>
      <c r="I70" s="61"/>
      <c r="J70" s="47">
        <v>0</v>
      </c>
      <c r="K70" s="47">
        <f>K2/D73*D70</f>
        <v>26465.866813788074</v>
      </c>
      <c r="L70" s="47">
        <f>K70*54.5%</f>
        <v>14423.897413514502</v>
      </c>
      <c r="M70" s="47">
        <f>SUM(E70:K70)</f>
        <v>26465.866813788074</v>
      </c>
      <c r="N70" s="47" t="e">
        <f>F70+G70+H70+K70+L70</f>
        <v>#VALUE!</v>
      </c>
      <c r="O70" s="47">
        <v>42411.66</v>
      </c>
      <c r="P70" s="47">
        <v>22506.43</v>
      </c>
      <c r="Q70" s="33">
        <f>P70-M70</f>
        <v>-3959.436813788074</v>
      </c>
      <c r="R70" s="42" t="s">
        <v>147</v>
      </c>
      <c r="S70" s="43" t="s">
        <v>146</v>
      </c>
    </row>
    <row r="71" spans="1:18" ht="52.5" customHeight="1" thickBot="1">
      <c r="A71" s="18">
        <v>2</v>
      </c>
      <c r="B71" s="19" t="s">
        <v>92</v>
      </c>
      <c r="C71" s="55">
        <v>1956</v>
      </c>
      <c r="D71" s="55">
        <v>380.7</v>
      </c>
      <c r="E71" s="47"/>
      <c r="F71" s="47"/>
      <c r="G71" s="47"/>
      <c r="H71" s="61"/>
      <c r="I71" s="97">
        <v>30903.67</v>
      </c>
      <c r="J71" s="47">
        <v>0</v>
      </c>
      <c r="K71" s="47">
        <f>K2/D73*D71</f>
        <v>23172.8507267919</v>
      </c>
      <c r="L71" s="47">
        <f>K71*54.5%</f>
        <v>12629.203646101587</v>
      </c>
      <c r="M71" s="47">
        <f>SUM(E71:K71)</f>
        <v>54076.5207267919</v>
      </c>
      <c r="N71" s="47">
        <f t="shared" si="7"/>
        <v>30903.670000000002</v>
      </c>
      <c r="O71" s="47">
        <v>23849.82</v>
      </c>
      <c r="P71" s="47">
        <v>24651.43</v>
      </c>
      <c r="Q71" s="33">
        <f>P71-M71</f>
        <v>-29425.090726791903</v>
      </c>
      <c r="R71" s="42" t="s">
        <v>148</v>
      </c>
    </row>
    <row r="72" spans="1:18" ht="52.5" customHeight="1">
      <c r="A72" s="18">
        <v>3</v>
      </c>
      <c r="B72" s="19" t="s">
        <v>93</v>
      </c>
      <c r="C72" s="55">
        <v>1962</v>
      </c>
      <c r="D72" s="55">
        <v>281.1</v>
      </c>
      <c r="E72" s="47"/>
      <c r="F72" s="47"/>
      <c r="G72" s="47"/>
      <c r="H72" s="61"/>
      <c r="I72" s="61"/>
      <c r="J72" s="47">
        <v>0</v>
      </c>
      <c r="K72" s="47">
        <f>K2/D73*D72</f>
        <v>17110.292459420027</v>
      </c>
      <c r="L72" s="47">
        <f>K72*54.5%</f>
        <v>9325.109390383916</v>
      </c>
      <c r="M72" s="47">
        <f>SUM(E72:K72)</f>
        <v>17110.292459420027</v>
      </c>
      <c r="N72" s="47">
        <f t="shared" si="7"/>
        <v>0</v>
      </c>
      <c r="O72" s="47">
        <v>19274.7</v>
      </c>
      <c r="P72" s="47">
        <v>18396.58</v>
      </c>
      <c r="Q72" s="33">
        <f>P72-M72</f>
        <v>1286.287540579975</v>
      </c>
      <c r="R72" s="42" t="s">
        <v>145</v>
      </c>
    </row>
    <row r="73" spans="1:18" ht="52.5" customHeight="1">
      <c r="A73" s="28">
        <f>+A72+A68+A52</f>
        <v>61</v>
      </c>
      <c r="B73" s="21" t="s">
        <v>39</v>
      </c>
      <c r="C73" s="53"/>
      <c r="D73" s="54">
        <f aca="true" t="shared" si="10" ref="D73:Q73">SUM(D70:D72)</f>
        <v>1096.6</v>
      </c>
      <c r="E73" s="54">
        <f t="shared" si="10"/>
        <v>0</v>
      </c>
      <c r="F73" s="46">
        <f t="shared" si="10"/>
        <v>0</v>
      </c>
      <c r="G73" s="46">
        <f t="shared" si="10"/>
        <v>0</v>
      </c>
      <c r="H73" s="46">
        <f t="shared" si="10"/>
        <v>0</v>
      </c>
      <c r="I73" s="46">
        <f t="shared" si="10"/>
        <v>30903.67</v>
      </c>
      <c r="J73" s="46">
        <f t="shared" si="10"/>
        <v>0</v>
      </c>
      <c r="K73" s="46">
        <f t="shared" si="10"/>
        <v>66749.01000000001</v>
      </c>
      <c r="L73" s="46">
        <f t="shared" si="10"/>
        <v>36378.210450000006</v>
      </c>
      <c r="M73" s="46">
        <f t="shared" si="10"/>
        <v>97652.68000000001</v>
      </c>
      <c r="N73" s="46" t="e">
        <f t="shared" si="10"/>
        <v>#VALUE!</v>
      </c>
      <c r="O73" s="46">
        <f t="shared" si="10"/>
        <v>85536.18000000001</v>
      </c>
      <c r="P73" s="46">
        <f t="shared" si="10"/>
        <v>65554.44</v>
      </c>
      <c r="Q73" s="34">
        <f t="shared" si="10"/>
        <v>-32098.24</v>
      </c>
      <c r="R73" s="29"/>
    </row>
    <row r="74" spans="1:18" ht="52.5" customHeight="1" thickBot="1">
      <c r="A74" s="16"/>
      <c r="B74" s="17" t="s">
        <v>94</v>
      </c>
      <c r="C74" s="62"/>
      <c r="D74" s="48">
        <f>D73+D69+D53</f>
        <v>72778.64</v>
      </c>
      <c r="E74" s="48">
        <f aca="true" t="shared" si="11" ref="E74:Q74">E73+E69+E53</f>
        <v>4009602.4799999995</v>
      </c>
      <c r="F74" s="48">
        <f t="shared" si="11"/>
        <v>2157044.3564235712</v>
      </c>
      <c r="G74" s="48">
        <f t="shared" si="11"/>
        <v>270600</v>
      </c>
      <c r="H74" s="48">
        <f t="shared" si="11"/>
        <v>687860.5499999999</v>
      </c>
      <c r="I74" s="48">
        <f t="shared" si="11"/>
        <v>1826819.38</v>
      </c>
      <c r="J74" s="48">
        <f t="shared" si="11"/>
        <v>86526.43</v>
      </c>
      <c r="K74" s="48">
        <f t="shared" si="11"/>
        <v>2377474.7899999996</v>
      </c>
      <c r="L74" s="48">
        <f t="shared" si="11"/>
        <v>1295261.6153939995</v>
      </c>
      <c r="M74" s="48">
        <f t="shared" si="11"/>
        <v>11415927.986423569</v>
      </c>
      <c r="N74" s="48" t="e">
        <f t="shared" si="11"/>
        <v>#VALUE!</v>
      </c>
      <c r="O74" s="48">
        <f t="shared" si="11"/>
        <v>9759887.71</v>
      </c>
      <c r="P74" s="48">
        <f t="shared" si="11"/>
        <v>9260183.32</v>
      </c>
      <c r="Q74" s="32">
        <f t="shared" si="11"/>
        <v>-2155744.6664235704</v>
      </c>
      <c r="R74" s="30"/>
    </row>
    <row r="75" spans="1:18" ht="52.5" customHeight="1">
      <c r="A75" s="74" t="s">
        <v>72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1:17" ht="52.5" customHeight="1">
      <c r="A76" s="14" t="s">
        <v>61</v>
      </c>
      <c r="B76" s="5"/>
      <c r="C76" s="4"/>
      <c r="D76" s="6"/>
      <c r="N76" s="31"/>
      <c r="Q76" s="31"/>
    </row>
    <row r="77" spans="1:4" ht="52.5" customHeight="1">
      <c r="A77" s="2" t="s">
        <v>106</v>
      </c>
      <c r="B77" s="5"/>
      <c r="C77" s="4"/>
      <c r="D77" s="6"/>
    </row>
    <row r="78" spans="1:4" ht="52.5" customHeight="1">
      <c r="A78" s="2" t="s">
        <v>159</v>
      </c>
      <c r="B78" s="5"/>
      <c r="C78" s="4"/>
      <c r="D78" s="6"/>
    </row>
    <row r="79" spans="1:4" ht="52.5" customHeight="1">
      <c r="A79" s="13"/>
      <c r="B79" s="5"/>
      <c r="C79" s="4"/>
      <c r="D79" s="6"/>
    </row>
    <row r="80" spans="1:4" ht="52.5" customHeight="1">
      <c r="A80" s="1"/>
      <c r="B80" s="9"/>
      <c r="C80" s="10"/>
      <c r="D80" s="11"/>
    </row>
    <row r="81" spans="2:4" ht="52.5" customHeight="1">
      <c r="B81" s="7"/>
      <c r="C81" s="7"/>
      <c r="D81" s="7"/>
    </row>
    <row r="82" spans="2:4" ht="52.5" customHeight="1">
      <c r="B82" s="7"/>
      <c r="C82" s="7"/>
      <c r="D82" s="7"/>
    </row>
  </sheetData>
  <sheetProtection/>
  <mergeCells count="20">
    <mergeCell ref="A5:Q5"/>
    <mergeCell ref="R5:R8"/>
    <mergeCell ref="A7:A8"/>
    <mergeCell ref="H7:H8"/>
    <mergeCell ref="I7:I8"/>
    <mergeCell ref="J7:J8"/>
    <mergeCell ref="K7:L7"/>
    <mergeCell ref="M7:M8"/>
    <mergeCell ref="O7:O8"/>
    <mergeCell ref="B7:B8"/>
    <mergeCell ref="A75:R75"/>
    <mergeCell ref="C7:C8"/>
    <mergeCell ref="D7:D8"/>
    <mergeCell ref="E6:Q6"/>
    <mergeCell ref="A6:D6"/>
    <mergeCell ref="E7:E8"/>
    <mergeCell ref="F7:F8"/>
    <mergeCell ref="G7:G8"/>
    <mergeCell ref="P7:P8"/>
    <mergeCell ref="Q7:Q8"/>
  </mergeCells>
  <printOptions/>
  <pageMargins left="0.1968503937007874" right="0" top="0.15748031496062992" bottom="0.1968503937007874" header="0" footer="0"/>
  <pageSetup horizontalDpi="600" verticalDpi="600" orientation="landscape" paperSize="9" scale="59" r:id="rId1"/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2016-02-16T07:00:05Z</cp:lastPrinted>
  <dcterms:created xsi:type="dcterms:W3CDTF">2011-01-17T06:18:12Z</dcterms:created>
  <dcterms:modified xsi:type="dcterms:W3CDTF">2016-03-24T10:10:38Z</dcterms:modified>
  <cp:category/>
  <cp:version/>
  <cp:contentType/>
  <cp:contentStatus/>
</cp:coreProperties>
</file>