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440" windowHeight="8085" activeTab="0"/>
  </bookViews>
  <sheets>
    <sheet name="Sheet1" sheetId="1" r:id="rId1"/>
  </sheets>
  <definedNames>
    <definedName name="_xlnm.Print_Area" localSheetId="0">'Sheet1'!$A$1:$T$60</definedName>
  </definedNames>
  <calcPr fullCalcOnLoad="1"/>
</workbook>
</file>

<file path=xl/sharedStrings.xml><?xml version="1.0" encoding="utf-8"?>
<sst xmlns="http://schemas.openxmlformats.org/spreadsheetml/2006/main" count="123" uniqueCount="123">
  <si>
    <t>Наименование объекта, адрес расположения объекта</t>
  </si>
  <si>
    <t>Год ввода в эксплуатацию</t>
  </si>
  <si>
    <t>l</t>
  </si>
  <si>
    <t>16-ти квартирный жилой дом №6, ул.Гагарина</t>
  </si>
  <si>
    <t>12-ти квартирный жилой дом №14, ул.Каменка</t>
  </si>
  <si>
    <t>18-ти квартирный жилой дом №1а, ул.Коммунистическая</t>
  </si>
  <si>
    <t>100- квартирный жилой дом №18, ул. Красноармейская</t>
  </si>
  <si>
    <t>18-ти квартирный жилой дом №35, ул. Ленина</t>
  </si>
  <si>
    <t>22-ти квартирный жилой дом №8, ул.Гагарина</t>
  </si>
  <si>
    <t>12-ти квартирный жилой дом №10, ул.Каменка</t>
  </si>
  <si>
    <t>80-ти квартирный жилой дом №13, ул.Каменка</t>
  </si>
  <si>
    <t>80-ти квартирный жилой дом №15, ул. Каменка</t>
  </si>
  <si>
    <t>18-ти квартирный жилой дом №1б, ул.Коммунистическая</t>
  </si>
  <si>
    <t>16-ти квартирный жилой дом №43, ул. Ленина</t>
  </si>
  <si>
    <t>16-ти квартирный жилой дом №45, ул. Ленина</t>
  </si>
  <si>
    <t>16-ти квартирный жилой дом №47, ул.Ленина</t>
  </si>
  <si>
    <t>18-ти квартирный жилой дом №50 ул. Ленина</t>
  </si>
  <si>
    <t xml:space="preserve">18-ти квартирный жилой дом №52, ул.Ленина </t>
  </si>
  <si>
    <t>90-о квартирный жилой дом №53, ул.Ленина</t>
  </si>
  <si>
    <t>18-ти квартирный жилой дом № 54, ул.Ленина</t>
  </si>
  <si>
    <t>60-ти квартирный жилой дом №55, ул.Ленина</t>
  </si>
  <si>
    <t>18-ти квартирный жилой дом №56, ул.Ленина</t>
  </si>
  <si>
    <t>58-ти квартирный жилой дом №57, ул.Ленина</t>
  </si>
  <si>
    <t>18-ти квартирный жилой дом №60, ул.Ленина</t>
  </si>
  <si>
    <t>18-ти квартирный жилой дом №62, ул.Ленина</t>
  </si>
  <si>
    <t>18-ти квартирный жилой дом № 64, ул.Ленина</t>
  </si>
  <si>
    <t>8-ми- квартирный жилой дом №3, ул.Октябрьская</t>
  </si>
  <si>
    <t>11-ти квартирный жилой дом №16, ул.Октябрьская</t>
  </si>
  <si>
    <t>12-ти квартирный жилой дом №2, пер. Предбазарный</t>
  </si>
  <si>
    <t>16-ти квартирный жилой дом №24, ул.Советская</t>
  </si>
  <si>
    <t>8-ми квартирный жилой дом №1, ул.Социалистическая</t>
  </si>
  <si>
    <t>80-ти квартирный жилой дом №3, ул.Социалистическая</t>
  </si>
  <si>
    <t>18-ти квартирный жилой дом № 5А, ул.Социалистическая</t>
  </si>
  <si>
    <t>18-ти квартирный жилой дом № 7А, ул.Социалистическая</t>
  </si>
  <si>
    <t>18-ти квартирный жилой дом №9, ул.Социалистическая</t>
  </si>
  <si>
    <t>79-ти квартирный жилой дом №11, ул.Социалистическая</t>
  </si>
  <si>
    <t xml:space="preserve">80-ти квартирный жилой дом №4, ул.Школьная </t>
  </si>
  <si>
    <t>18-ти квартирный жилой дом № 6, ул.Школьная</t>
  </si>
  <si>
    <t xml:space="preserve">8-ми- квартирный жилой дом №2А, ул.Марьинская </t>
  </si>
  <si>
    <t>60-ти квартирный жилой дом №33, ул. Ленина</t>
  </si>
  <si>
    <t>4-х квартирный жилой дом №37, ул. Ленина</t>
  </si>
  <si>
    <t>51- квартирный жилой дом № 25, ул. Красноармейская</t>
  </si>
  <si>
    <t>33-х квартирный жилой дом № 63, ул.Ленина</t>
  </si>
  <si>
    <t>12-ти квартирный жилой дом N 68, ул.Ленина</t>
  </si>
  <si>
    <t>площадь  газа</t>
  </si>
  <si>
    <t>площадь убир двор</t>
  </si>
  <si>
    <t xml:space="preserve">Освещение мест общего пользования </t>
  </si>
  <si>
    <t>Текущий ремонт инженерного оборудования ***</t>
  </si>
  <si>
    <t>Текущий ремонт конструктивных элементов ****</t>
  </si>
  <si>
    <t>Выборочн. ремонт кровли 180 кв.м - 62860,76р.;          Кап.рем. кровли 525 кв.м - 428300,0р.</t>
  </si>
  <si>
    <t xml:space="preserve">Установка козырьков - 13400р.;                              </t>
  </si>
  <si>
    <t>Установка дверного блока и козырька - 25000р.</t>
  </si>
  <si>
    <t>Установка 2-х дверных блоков - 37387,20р.</t>
  </si>
  <si>
    <t>Установка козырьков - 29080р.;                                       Установка 4-х дверных  блоков - 32000р.;                                  Замена перил - 59500р.</t>
  </si>
  <si>
    <t>Содержание аварийно- диспетчерской службы *</t>
  </si>
  <si>
    <t>Затраты по санитарному содержанию   **</t>
  </si>
  <si>
    <t xml:space="preserve">Затраты по управлению домами </t>
  </si>
  <si>
    <t>Всего:</t>
  </si>
  <si>
    <t xml:space="preserve">в т.ч. зарплата и отчисления ИТР </t>
  </si>
  <si>
    <t xml:space="preserve">Начисленно платы  за сод. жилья </t>
  </si>
  <si>
    <t xml:space="preserve">Собрано платы  за сод. жилья </t>
  </si>
  <si>
    <t xml:space="preserve">Прибыль/ убыток  (+/-) </t>
  </si>
  <si>
    <t>Всего затрат:</t>
  </si>
  <si>
    <t>№ п/п</t>
  </si>
  <si>
    <t>*- зарплата работников аварийно-диспетчерской службы, обязательные отчисления ЕСН, контроль технического состояния, поддержание работоспособности и исправности, наладка, регулировка, подготовка к сезонной эксплуатации инженерного оборудования, устранение незначительных неполадок.</t>
  </si>
  <si>
    <t>Итого по многоквартирным жилым домам п. Кардымово:</t>
  </si>
  <si>
    <t>Кап. ремонт кровли 838 кв.м - 399522р.;                            Установка 3-х дверн.блоков - 62700р.</t>
  </si>
  <si>
    <t>Кап. ремонт кровли 806 кв.м - 302134р.;                                                                      Установка 2-х  дверных блоков - 37387,20р.</t>
  </si>
  <si>
    <t>Кап. ремонт кровли 806 кв.м - 427924р.;                                                 Установка 2-х дверных блоков - 37387,20р.</t>
  </si>
  <si>
    <t>Кап. ремонт кровли 610 кв.м - 326703р.;                                  Установка 2-х дверных блоков - 26240р.</t>
  </si>
  <si>
    <t>Кап. ремонт кровли 389 кв.м - 184650р.;                                                                   Установка дверного блока - 18693,60р.</t>
  </si>
  <si>
    <t>Кап. ремонт кровли 1326 кв.м - 554212р.;                                Установка 4-х дверных   блоков - 62800р.;                               Ремонт межпанельных стыков 158п/м - 50503р.;                                    Установка коллективной антенны - 39000р.</t>
  </si>
  <si>
    <t>Кап. ремонт кровли 830 кв.м - 372270р.;                       Установка 3-х дверных блоков - 39000р.</t>
  </si>
  <si>
    <t>***- виды работ: прочистка канализации, ремонт сетей внутренних  водопроводов холодного, горячего водоснабжения и отопления ,ремонт и замена запорной арматуры, ремонт внутридомового электрооборудования и др.</t>
  </si>
  <si>
    <t>каменка</t>
  </si>
  <si>
    <t xml:space="preserve"> Установка дверных 4-х  блоков - 30000р.                                    Ремонт межпанельных швов 450 м.п.   - 361180р.                         </t>
  </si>
  <si>
    <t>Установка дверного блока - 33350р.                                            Ремонт кровли 350 кв.м - 258270 р.</t>
  </si>
  <si>
    <t>Установка дверных 4-х  блоков - 30000р.                         Ремонт межпанельных швов 450 м.п. - 361180р.</t>
  </si>
  <si>
    <t xml:space="preserve">Установка дверных 4-х  блоков - 30000р.;                                                             Выборочный ремонт кровли 143 кв.м - 36528р.                        Ремонт межпанельных швов 450 п/м -361181руб.             Ремонт кровли  342 кв.м. - 402280 р.                </t>
  </si>
  <si>
    <t>Выборочный ремонт кровли 288 кв.м - 77680р.;                                                       Установка 3-х дверных блоков - 43410р.                                             Ремонт кровли 1094кв.м.- 816080р.</t>
  </si>
  <si>
    <t>Выборочный ремонт кровли 30 кв.м - 30100р.;                               Выборочный ремонт кровли 59 кв.м - 38330р                                        Замена 2-х дверных блоков - 28891р.                                   Ремонт кровли 622 кв.м.- 485580р.</t>
  </si>
  <si>
    <t>Установка 4-х дверных блоков - 92600р.                               Ремонт кровли козырьков балконов 3,6кв.м. - 5180р.</t>
  </si>
  <si>
    <t>Ремонт кровли 750 кв.м - 352885р.                                 Установка 3-х дверных блоков - 49800р</t>
  </si>
  <si>
    <t>Установка  4-х дверных блоков - 82100р.;                                               Выборочный ремонт кровли 350 кв.м - 80225р.;                                Ремонт межпанельных стыков 56 п/м - 17900р.                     Кап.ремнт кровли 1360,0м.2. - 1169264руб.</t>
  </si>
  <si>
    <t xml:space="preserve"> </t>
  </si>
  <si>
    <t>Кап. ремонт кровли 1321кв.м - 640643р.;                                      Установка 4-х дверных блоков - 58000р.                                              Ремонт кровли козырьков балконов 3,6кв.м. - 3570р.</t>
  </si>
  <si>
    <t>Кап. ремонт кровли 1321кв.м - 606284р.;                         Установка 4-х  дверных блоков - 60000р.                                Ремонт межпанельных швов 1740 м.п  -1460670р.                 Ремонт кровли козырьков балконов 2,6кв.м. - 3490р.</t>
  </si>
  <si>
    <t>Установка 3-х дверных блоков - 39360р.;                             Кап. ремонт кровли 809 кв.м - 398400р.                                                                         Доработка дверей 3шт -  29700р.</t>
  </si>
  <si>
    <t>Установка козырька и 2-х  дверных блоков -39300р.                                     Ремонт кровли 609 кв.м. - 591490р.                                   Доработка дверей  2шт.-19800р.</t>
  </si>
  <si>
    <r>
      <t>Кап. ремонт кровли 767кв.м</t>
    </r>
    <r>
      <rPr>
        <sz val="10"/>
        <rFont val="Calibri"/>
        <family val="2"/>
      </rPr>
      <t xml:space="preserve"> -</t>
    </r>
    <r>
      <rPr>
        <sz val="10"/>
        <rFont val="Arial"/>
        <family val="2"/>
      </rPr>
      <t xml:space="preserve"> 485900р.;                              Замена 3-х дверных блоков - 40150р.                                                        Доработка дверей 1шт.- 6000р.</t>
    </r>
  </si>
  <si>
    <t>Кап. ремонт кровли 721 кв.м - 311810,49р.;                                          Замена дверного блока - 11400р.;                               Установка окон 3шт. -27291р.</t>
  </si>
  <si>
    <t>Кап. ремонт кровли 750 кв.м - 321000р.;                                  Установка дверного блока - 17000р.                                     Установка окон 3шт. -27291р</t>
  </si>
  <si>
    <t>Кап. ремонт кровли 730 кв.м - 330000р.;                                                                   Установка дверного блока - 17000р.                                       Установка окон 3шт. -27291р</t>
  </si>
  <si>
    <t>Кап. ремонт кровли 740 кв.м - 543200р.                                                                   Установка окон 3шт. -27291р</t>
  </si>
  <si>
    <t>Капитальный ремонт отмостки - 85393р.                                   Кап.ремонт кровли740кв.м. - 688433руб.                                                             Установка окон 3шт. -27291р</t>
  </si>
  <si>
    <t>Выборочный ремонт кровли 150кв.м. -111567руб.                                                Установка окон 1шт. -9097р</t>
  </si>
  <si>
    <t>Установка козырьков - 28000р.;                                              Ремонт крылец 2шт- 40070р.                                      Установка дверных блоков 2шт - 40000р.</t>
  </si>
  <si>
    <t>Выборочный ремонт кровли 160 кв.м - 55876,24р.;                   Кап.рем. кровли 529 кв.м - 430500,0</t>
  </si>
  <si>
    <t>Кап. ремонт кровли 1629 кв.м - 640571р.;                      Установка  5-ти дверных блоков - 56000р.                                           Замена доводчиков 2шт.-2000р.</t>
  </si>
  <si>
    <t>Кап. ремонт кровли 820 кв.м - 331900р.                             Установка 3-х дверных блоков - 49800р.                                               Замена доводчиков 2шт.- 2000р.</t>
  </si>
  <si>
    <t>Установка 3-х дверных блоков - 75900р.                                             Установка перил - 4500р.                                                     Ремонт межпанельных  швов 1305м.п. - 638823р.</t>
  </si>
  <si>
    <t>Установка дверного блока - 17000р.                                                        Установка окон 3шт. -27291р                                                         Ремонт отмостки 118 кв.м. -116115р.</t>
  </si>
  <si>
    <t>Замена дверного блока - 21300р.                                           Замена доводчиков 2шт.-2000р.                                                               Установка двери в кв. № 21- 6780р.</t>
  </si>
  <si>
    <t>СОДЕРЖАНИЕ И РЕМОНТ МЕСТ ОБЩЕГО ПОЛЬЗОВАНИЯ МНОГОКВАРТИРНЫХ ДОМОВ</t>
  </si>
  <si>
    <t>АРЖ</t>
  </si>
  <si>
    <t>з п дворников</t>
  </si>
  <si>
    <t>площадь санит обслуж м2</t>
  </si>
  <si>
    <t>кардымово управление</t>
  </si>
  <si>
    <t>****- виды работ: очистка кровель от снега и наледи, выборочный ремонт кровель,остекление окон,  прочистка вентиляционных и дымовых каналов, ремонт крылец, отмосток, козырьков ,кровли, межпанельных швов, ремонт подъездов и др.</t>
  </si>
  <si>
    <t>**- заработная плата уборщиков мест общего пользования, обязательные отчисления ЕСН,социальные выплаты, спецодежда, инвентарь, подвоз песка.</t>
  </si>
  <si>
    <r>
      <t>Общая площадь, м</t>
    </r>
    <r>
      <rPr>
        <vertAlign val="superscript"/>
        <sz val="11"/>
        <rFont val="Times New Roman"/>
        <family val="1"/>
      </rPr>
      <t>2</t>
    </r>
  </si>
  <si>
    <t>Установка 4-х дверных блоков - 95240р.                                Софинансирование  стоимости работ по капитальному ремонту - 553322руб.</t>
  </si>
  <si>
    <t>6-ти- квартирный жилой дом №27, ул. Красноармейская</t>
  </si>
  <si>
    <t>6-ти- квартирный жилой дом №29, ул. Красноармейская</t>
  </si>
  <si>
    <t xml:space="preserve">ОДН Березкинское </t>
  </si>
  <si>
    <t>Кардымово</t>
  </si>
  <si>
    <t>Сведения о выполненных работах по капитальному ремонту конструктивных элементов за период с 01.01.2008г. по 30.09.2014г.</t>
  </si>
  <si>
    <t>S ОДН по электр Кардымово</t>
  </si>
  <si>
    <t>з/п Каменское с\п по обслуживанию Голозов</t>
  </si>
  <si>
    <t>Диагностика ВДГО</t>
  </si>
  <si>
    <t>Техническое обслуживание фасадных и внутренних газопроводов</t>
  </si>
  <si>
    <r>
      <t>Площадь, м</t>
    </r>
    <r>
      <rPr>
        <vertAlign val="superscript"/>
        <sz val="11"/>
        <rFont val="Times New Roman"/>
        <family val="1"/>
      </rPr>
      <t>2   по тех паспорту.</t>
    </r>
  </si>
  <si>
    <t>ОТЧЕТ ПО МНОГОКВАРТИРНЫМ ДОМАМ ЗА 2021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</si>
</sst>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5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b/>
      <sz val="2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2" fontId="6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/>
      <protection/>
    </xf>
    <xf numFmtId="172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2" fontId="5" fillId="33" borderId="10" xfId="0" applyNumberFormat="1" applyFont="1" applyFill="1" applyBorder="1" applyAlignment="1" applyProtection="1">
      <alignment horizontal="center" vertical="top"/>
      <protection/>
    </xf>
    <xf numFmtId="0" fontId="1" fillId="33" borderId="10" xfId="0" applyNumberFormat="1" applyFont="1" applyFill="1" applyBorder="1" applyAlignment="1" applyProtection="1">
      <alignment horizontal="center" vertical="top"/>
      <protection/>
    </xf>
    <xf numFmtId="0" fontId="1" fillId="33" borderId="12" xfId="0" applyNumberFormat="1" applyFont="1" applyFill="1" applyBorder="1" applyAlignment="1" applyProtection="1">
      <alignment horizontal="center" vertical="top"/>
      <protection/>
    </xf>
    <xf numFmtId="0" fontId="1" fillId="33" borderId="13" xfId="0" applyNumberFormat="1" applyFont="1" applyFill="1" applyBorder="1" applyAlignment="1" applyProtection="1">
      <alignment horizontal="center" vertical="top"/>
      <protection/>
    </xf>
    <xf numFmtId="172" fontId="1" fillId="33" borderId="13" xfId="0" applyNumberFormat="1" applyFont="1" applyFill="1" applyBorder="1" applyAlignment="1" applyProtection="1">
      <alignment horizontal="center" vertical="top"/>
      <protection/>
    </xf>
    <xf numFmtId="0" fontId="1" fillId="33" borderId="14" xfId="0" applyNumberFormat="1" applyFont="1" applyFill="1" applyBorder="1" applyAlignment="1" applyProtection="1">
      <alignment horizontal="center" vertical="top"/>
      <protection/>
    </xf>
    <xf numFmtId="172" fontId="0" fillId="33" borderId="11" xfId="0" applyNumberForma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172" fontId="1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0" fontId="5" fillId="33" borderId="10" xfId="0" applyNumberFormat="1" applyFont="1" applyFill="1" applyBorder="1" applyAlignment="1" applyProtection="1">
      <alignment horizontal="center" vertical="top"/>
      <protection/>
    </xf>
    <xf numFmtId="0" fontId="4" fillId="33" borderId="15" xfId="0" applyNumberFormat="1" applyFont="1" applyFill="1" applyBorder="1" applyAlignment="1" applyProtection="1">
      <alignment horizontal="center" vertical="top"/>
      <protection/>
    </xf>
    <xf numFmtId="0" fontId="4" fillId="33" borderId="16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0" fontId="4" fillId="33" borderId="14" xfId="0" applyNumberFormat="1" applyFont="1" applyFill="1" applyBorder="1" applyAlignment="1" applyProtection="1">
      <alignment horizontal="left" vertical="top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172" fontId="6" fillId="33" borderId="10" xfId="0" applyNumberFormat="1" applyFont="1" applyFill="1" applyBorder="1" applyAlignment="1" applyProtection="1">
      <alignment horizontal="center" vertical="top"/>
      <protection/>
    </xf>
    <xf numFmtId="0" fontId="51" fillId="34" borderId="0" xfId="0" applyNumberFormat="1" applyFont="1" applyFill="1" applyBorder="1" applyAlignment="1" applyProtection="1">
      <alignment vertical="top"/>
      <protection/>
    </xf>
    <xf numFmtId="0" fontId="51" fillId="33" borderId="0" xfId="0" applyNumberFormat="1" applyFont="1" applyFill="1" applyBorder="1" applyAlignment="1" applyProtection="1">
      <alignment vertical="top"/>
      <protection/>
    </xf>
    <xf numFmtId="0" fontId="52" fillId="33" borderId="0" xfId="0" applyNumberFormat="1" applyFont="1" applyFill="1" applyBorder="1" applyAlignment="1" applyProtection="1">
      <alignment vertical="top"/>
      <protection/>
    </xf>
    <xf numFmtId="0" fontId="51" fillId="33" borderId="0" xfId="0" applyNumberFormat="1" applyFont="1" applyFill="1" applyBorder="1" applyAlignment="1" applyProtection="1">
      <alignment vertical="top" wrapText="1"/>
      <protection/>
    </xf>
    <xf numFmtId="0" fontId="4" fillId="33" borderId="17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72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 indent="2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2" fillId="34" borderId="0" xfId="0" applyNumberFormat="1" applyFont="1" applyFill="1" applyBorder="1" applyAlignment="1" applyProtection="1">
      <alignment vertical="top"/>
      <protection/>
    </xf>
    <xf numFmtId="0" fontId="52" fillId="21" borderId="0" xfId="0" applyNumberFormat="1" applyFont="1" applyFill="1" applyBorder="1" applyAlignment="1" applyProtection="1">
      <alignment vertical="top"/>
      <protection/>
    </xf>
    <xf numFmtId="0" fontId="52" fillId="21" borderId="0" xfId="0" applyNumberFormat="1" applyFont="1" applyFill="1" applyBorder="1" applyAlignment="1" applyProtection="1">
      <alignment vertical="top" wrapText="1"/>
      <protection/>
    </xf>
    <xf numFmtId="2" fontId="1" fillId="33" borderId="18" xfId="0" applyNumberFormat="1" applyFont="1" applyFill="1" applyBorder="1" applyAlignment="1" applyProtection="1">
      <alignment horizontal="center" vertical="top"/>
      <protection/>
    </xf>
    <xf numFmtId="0" fontId="4" fillId="33" borderId="19" xfId="0" applyNumberFormat="1" applyFont="1" applyFill="1" applyBorder="1" applyAlignment="1" applyProtection="1">
      <alignment horizontal="center" vertical="top"/>
      <protection/>
    </xf>
    <xf numFmtId="2" fontId="6" fillId="33" borderId="18" xfId="0" applyNumberFormat="1" applyFont="1" applyFill="1" applyBorder="1" applyAlignment="1" applyProtection="1">
      <alignment horizontal="center" vertical="top"/>
      <protection/>
    </xf>
    <xf numFmtId="172" fontId="0" fillId="33" borderId="2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NumberFormat="1" applyFont="1" applyFill="1" applyBorder="1" applyAlignment="1" applyProtection="1">
      <alignment vertical="top" wrapText="1"/>
      <protection/>
    </xf>
    <xf numFmtId="0" fontId="4" fillId="33" borderId="21" xfId="0" applyNumberFormat="1" applyFont="1" applyFill="1" applyBorder="1" applyAlignment="1" applyProtection="1">
      <alignment horizontal="center" vertical="top"/>
      <protection/>
    </xf>
    <xf numFmtId="0" fontId="4" fillId="33" borderId="22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7" fillId="33" borderId="13" xfId="0" applyNumberFormat="1" applyFont="1" applyFill="1" applyBorder="1" applyAlignment="1" applyProtection="1">
      <alignment horizontal="left" vertical="top" wrapText="1"/>
      <protection/>
    </xf>
    <xf numFmtId="0" fontId="1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0" fontId="53" fillId="33" borderId="0" xfId="0" applyNumberFormat="1" applyFont="1" applyFill="1" applyBorder="1" applyAlignment="1" applyProtection="1">
      <alignment vertical="top"/>
      <protection/>
    </xf>
    <xf numFmtId="2" fontId="53" fillId="33" borderId="0" xfId="0" applyNumberFormat="1" applyFont="1" applyFill="1" applyBorder="1" applyAlignment="1" applyProtection="1">
      <alignment vertical="top"/>
      <protection/>
    </xf>
    <xf numFmtId="0" fontId="53" fillId="33" borderId="0" xfId="0" applyNumberFormat="1" applyFont="1" applyFill="1" applyBorder="1" applyAlignment="1" applyProtection="1">
      <alignment vertical="top" wrapText="1"/>
      <protection/>
    </xf>
    <xf numFmtId="0" fontId="4" fillId="33" borderId="24" xfId="0" applyNumberFormat="1" applyFont="1" applyFill="1" applyBorder="1" applyAlignment="1" applyProtection="1">
      <alignment horizontal="center" vertical="top"/>
      <protection/>
    </xf>
    <xf numFmtId="0" fontId="4" fillId="33" borderId="25" xfId="0" applyNumberFormat="1" applyFont="1" applyFill="1" applyBorder="1" applyAlignment="1" applyProtection="1">
      <alignment horizontal="center" vertical="top"/>
      <protection/>
    </xf>
    <xf numFmtId="0" fontId="4" fillId="33" borderId="26" xfId="0" applyNumberFormat="1" applyFont="1" applyFill="1" applyBorder="1" applyAlignment="1" applyProtection="1">
      <alignment horizontal="center" vertical="top"/>
      <protection/>
    </xf>
    <xf numFmtId="0" fontId="4" fillId="33" borderId="27" xfId="0" applyNumberFormat="1" applyFont="1" applyFill="1" applyBorder="1" applyAlignment="1" applyProtection="1">
      <alignment horizontal="center" vertical="top"/>
      <protection/>
    </xf>
    <xf numFmtId="2" fontId="1" fillId="33" borderId="13" xfId="0" applyNumberFormat="1" applyFont="1" applyFill="1" applyBorder="1" applyAlignment="1" applyProtection="1">
      <alignment horizontal="center" vertical="top"/>
      <protection/>
    </xf>
    <xf numFmtId="2" fontId="1" fillId="33" borderId="18" xfId="0" applyNumberFormat="1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center" vertical="top"/>
      <protection/>
    </xf>
    <xf numFmtId="2" fontId="1" fillId="33" borderId="28" xfId="0" applyNumberFormat="1" applyFont="1" applyFill="1" applyBorder="1" applyAlignment="1" applyProtection="1">
      <alignment horizontal="center" vertical="top"/>
      <protection/>
    </xf>
    <xf numFmtId="2" fontId="1" fillId="33" borderId="28" xfId="0" applyNumberFormat="1" applyFont="1" applyFill="1" applyBorder="1" applyAlignment="1" applyProtection="1">
      <alignment horizontal="center" vertical="top"/>
      <protection/>
    </xf>
    <xf numFmtId="2" fontId="5" fillId="33" borderId="13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/>
      <protection/>
    </xf>
    <xf numFmtId="2" fontId="1" fillId="33" borderId="10" xfId="0" applyNumberFormat="1" applyFont="1" applyFill="1" applyBorder="1" applyAlignment="1" applyProtection="1">
      <alignment horizontal="center" vertical="top" wrapText="1"/>
      <protection/>
    </xf>
    <xf numFmtId="2" fontId="1" fillId="33" borderId="29" xfId="0" applyNumberFormat="1" applyFont="1" applyFill="1" applyBorder="1" applyAlignment="1" applyProtection="1">
      <alignment horizontal="center" vertical="top"/>
      <protection/>
    </xf>
    <xf numFmtId="2" fontId="6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30" xfId="0" applyNumberFormat="1" applyFont="1" applyFill="1" applyBorder="1" applyAlignment="1" applyProtection="1">
      <alignment horizontal="center" vertical="center" wrapText="1"/>
      <protection/>
    </xf>
    <xf numFmtId="0" fontId="4" fillId="33" borderId="31" xfId="0" applyNumberFormat="1" applyFont="1" applyFill="1" applyBorder="1" applyAlignment="1" applyProtection="1">
      <alignment horizontal="center" vertical="center" wrapText="1"/>
      <protection/>
    </xf>
    <xf numFmtId="0" fontId="54" fillId="33" borderId="25" xfId="0" applyNumberFormat="1" applyFont="1" applyFill="1" applyBorder="1" applyAlignment="1" applyProtection="1">
      <alignment horizontal="center" vertical="top"/>
      <protection/>
    </xf>
    <xf numFmtId="0" fontId="54" fillId="33" borderId="32" xfId="0" applyNumberFormat="1" applyFont="1" applyFill="1" applyBorder="1" applyAlignment="1" applyProtection="1">
      <alignment horizontal="center" vertical="top"/>
      <protection/>
    </xf>
    <xf numFmtId="0" fontId="55" fillId="33" borderId="33" xfId="0" applyNumberFormat="1" applyFont="1" applyFill="1" applyBorder="1" applyAlignment="1" applyProtection="1">
      <alignment horizontal="center" vertical="top"/>
      <protection/>
    </xf>
    <xf numFmtId="0" fontId="55" fillId="33" borderId="34" xfId="0" applyNumberFormat="1" applyFont="1" applyFill="1" applyBorder="1" applyAlignment="1" applyProtection="1">
      <alignment horizontal="center" vertical="top"/>
      <protection/>
    </xf>
    <xf numFmtId="0" fontId="55" fillId="33" borderId="28" xfId="0" applyNumberFormat="1" applyFont="1" applyFill="1" applyBorder="1" applyAlignment="1" applyProtection="1">
      <alignment horizontal="center" vertical="top"/>
      <protection/>
    </xf>
    <xf numFmtId="0" fontId="1" fillId="33" borderId="23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36" xfId="0" applyNumberFormat="1" applyFont="1" applyFill="1" applyBorder="1" applyAlignment="1" applyProtection="1">
      <alignment horizontal="center" vertical="center" wrapText="1"/>
      <protection/>
    </xf>
    <xf numFmtId="0" fontId="1" fillId="33" borderId="37" xfId="0" applyNumberFormat="1" applyFont="1" applyFill="1" applyBorder="1" applyAlignment="1" applyProtection="1">
      <alignment horizontal="center" vertical="center" wrapText="1"/>
      <protection/>
    </xf>
    <xf numFmtId="0" fontId="1" fillId="33" borderId="38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33" borderId="39" xfId="0" applyNumberFormat="1" applyFont="1" applyFill="1" applyBorder="1" applyAlignment="1" applyProtection="1">
      <alignment horizontal="center" vertical="center" wrapText="1"/>
      <protection/>
    </xf>
    <xf numFmtId="0" fontId="1" fillId="33" borderId="29" xfId="0" applyNumberFormat="1" applyFont="1" applyFill="1" applyBorder="1" applyAlignment="1" applyProtection="1">
      <alignment horizontal="center" vertical="center" wrapText="1"/>
      <protection/>
    </xf>
    <xf numFmtId="0" fontId="55" fillId="33" borderId="18" xfId="0" applyNumberFormat="1" applyFont="1" applyFill="1" applyBorder="1" applyAlignment="1" applyProtection="1">
      <alignment horizontal="center" vertical="top"/>
      <protection/>
    </xf>
    <xf numFmtId="0" fontId="1" fillId="33" borderId="40" xfId="0" applyNumberFormat="1" applyFont="1" applyFill="1" applyBorder="1" applyAlignment="1" applyProtection="1">
      <alignment horizontal="center" vertical="center" wrapText="1"/>
      <protection/>
    </xf>
    <xf numFmtId="0" fontId="1" fillId="33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1" fillId="33" borderId="43" xfId="0" applyNumberFormat="1" applyFont="1" applyFill="1" applyBorder="1" applyAlignment="1" applyProtection="1">
      <alignment horizontal="center" vertical="center" wrapText="1"/>
      <protection/>
    </xf>
    <xf numFmtId="0" fontId="1" fillId="33" borderId="44" xfId="0" applyNumberFormat="1" applyFont="1" applyFill="1" applyBorder="1" applyAlignment="1" applyProtection="1">
      <alignment horizontal="center" vertical="center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SheetLayoutView="100" workbookViewId="0" topLeftCell="A46">
      <selection activeCell="E56" sqref="E56"/>
    </sheetView>
  </sheetViews>
  <sheetFormatPr defaultColWidth="9.28125" defaultRowHeight="51.75" customHeight="1"/>
  <cols>
    <col min="1" max="1" width="5.8515625" style="0" customWidth="1"/>
    <col min="2" max="2" width="58.140625" style="0" customWidth="1"/>
    <col min="3" max="3" width="9.28125" style="0" customWidth="1"/>
    <col min="4" max="4" width="9.28125" style="0" hidden="1" customWidth="1"/>
    <col min="5" max="5" width="10.7109375" style="0" customWidth="1"/>
    <col min="6" max="6" width="15.00390625" style="5" customWidth="1"/>
    <col min="7" max="7" width="15.421875" style="5" customWidth="1"/>
    <col min="8" max="8" width="13.8515625" style="5" customWidth="1"/>
    <col min="9" max="9" width="13.421875" style="5" customWidth="1"/>
    <col min="10" max="10" width="13.00390625" style="1" customWidth="1"/>
    <col min="11" max="11" width="14.421875" style="1" customWidth="1"/>
    <col min="12" max="12" width="11.57421875" style="1" customWidth="1"/>
    <col min="13" max="14" width="11.8515625" style="1" customWidth="1"/>
    <col min="15" max="15" width="14.00390625" style="1" customWidth="1"/>
    <col min="16" max="16" width="14.421875" style="48" customWidth="1"/>
    <col min="17" max="17" width="15.00390625" style="48" customWidth="1"/>
    <col min="18" max="18" width="23.28125" style="1" customWidth="1"/>
    <col min="19" max="19" width="33.140625" style="1" customWidth="1"/>
    <col min="20" max="20" width="23.28125" style="1" customWidth="1"/>
  </cols>
  <sheetData>
    <row r="1" spans="5:20" s="23" customFormat="1" ht="51.75" customHeight="1" hidden="1">
      <c r="E1" s="39"/>
      <c r="F1" s="5"/>
      <c r="G1" s="5"/>
      <c r="H1" s="5" t="s">
        <v>45</v>
      </c>
      <c r="I1" s="5"/>
      <c r="J1" s="5"/>
      <c r="K1" s="5" t="s">
        <v>44</v>
      </c>
      <c r="L1" s="24"/>
      <c r="M1" s="24"/>
      <c r="N1" s="24"/>
      <c r="O1" s="5"/>
      <c r="P1" s="5"/>
      <c r="Q1" s="24"/>
      <c r="R1" s="24"/>
      <c r="S1" s="24"/>
      <c r="T1" s="24"/>
    </row>
    <row r="2" spans="5:20" s="23" customFormat="1" ht="51.75" customHeight="1" hidden="1">
      <c r="E2" s="39"/>
      <c r="F2" s="5"/>
      <c r="G2" s="5"/>
      <c r="H2" s="5"/>
      <c r="I2" s="5"/>
      <c r="J2" s="5"/>
      <c r="K2" s="5" t="s">
        <v>115</v>
      </c>
      <c r="L2" s="24"/>
      <c r="M2" s="5"/>
      <c r="N2" s="45"/>
      <c r="O2" s="5"/>
      <c r="P2" s="5"/>
      <c r="Q2" s="24"/>
      <c r="R2" s="24"/>
      <c r="S2" s="24"/>
      <c r="T2" s="24"/>
    </row>
    <row r="3" spans="5:20" s="23" customFormat="1" ht="72" customHeight="1" hidden="1">
      <c r="E3" s="40" t="s">
        <v>118</v>
      </c>
      <c r="F3" s="5"/>
      <c r="G3" s="5" t="s">
        <v>105</v>
      </c>
      <c r="H3" s="51" t="s">
        <v>106</v>
      </c>
      <c r="I3" s="52"/>
      <c r="J3" s="5"/>
      <c r="K3" s="5"/>
      <c r="L3" s="24"/>
      <c r="M3" s="5"/>
      <c r="N3" s="5" t="s">
        <v>74</v>
      </c>
      <c r="O3" s="5"/>
      <c r="P3" s="5"/>
      <c r="Q3" s="24"/>
      <c r="R3" s="24"/>
      <c r="S3" s="24"/>
      <c r="T3" s="24"/>
    </row>
    <row r="4" spans="5:20" s="23" customFormat="1" ht="54" customHeight="1" hidden="1">
      <c r="E4" s="39" t="s">
        <v>104</v>
      </c>
      <c r="F4" s="53">
        <f>(4152854.15+260477.01+27389)/72591.8*64617.4</f>
        <v>3952895.3802879113</v>
      </c>
      <c r="G4" s="54">
        <v>3857710.25</v>
      </c>
      <c r="H4" s="53">
        <v>62951</v>
      </c>
      <c r="I4" s="55" t="s">
        <v>117</v>
      </c>
      <c r="J4" s="5"/>
      <c r="K4" s="5"/>
      <c r="L4" s="24"/>
      <c r="M4" s="5">
        <f>(2865013.75+216578.71)/72591.8*64617.4</f>
        <v>2743071.4298970955</v>
      </c>
      <c r="N4" s="45" t="s">
        <v>107</v>
      </c>
      <c r="O4" s="5"/>
      <c r="P4" s="5"/>
      <c r="Q4" s="24"/>
      <c r="R4" s="24"/>
      <c r="S4" s="24"/>
      <c r="T4" s="24"/>
    </row>
    <row r="5" spans="5:20" s="23" customFormat="1" ht="51.75" customHeight="1" hidden="1">
      <c r="E5" s="39"/>
      <c r="F5" s="53">
        <f>SUM(F3:F4)</f>
        <v>3952895.3802879113</v>
      </c>
      <c r="G5" s="53"/>
      <c r="H5" s="53"/>
      <c r="I5" s="53">
        <v>59835.06</v>
      </c>
      <c r="J5" s="5"/>
      <c r="K5" s="5"/>
      <c r="L5" s="24"/>
      <c r="M5" s="24"/>
      <c r="N5" s="26"/>
      <c r="O5" s="5"/>
      <c r="P5" s="5"/>
      <c r="Q5" s="24"/>
      <c r="R5" s="24"/>
      <c r="S5" s="24"/>
      <c r="T5" s="24"/>
    </row>
    <row r="6" spans="5:20" s="23" customFormat="1" ht="51" customHeight="1" hidden="1" thickBot="1">
      <c r="E6" s="38"/>
      <c r="F6" s="5"/>
      <c r="G6" s="5"/>
      <c r="H6" s="24"/>
      <c r="I6" s="24"/>
      <c r="J6" s="24"/>
      <c r="K6" s="24"/>
      <c r="L6" s="24"/>
      <c r="M6" s="24">
        <f>SUM(M2:M5)</f>
        <v>2743071.4298970955</v>
      </c>
      <c r="N6" s="26"/>
      <c r="O6" s="5"/>
      <c r="P6" s="5"/>
      <c r="Q6" s="24"/>
      <c r="R6" s="24"/>
      <c r="S6" s="24"/>
      <c r="T6" s="24"/>
    </row>
    <row r="7" spans="1:20" s="23" customFormat="1" ht="49.5" customHeight="1" hidden="1" thickBot="1">
      <c r="A7" s="24"/>
      <c r="B7" s="24"/>
      <c r="C7" s="24"/>
      <c r="D7" s="24"/>
      <c r="E7" s="25"/>
      <c r="F7" s="24"/>
      <c r="G7" s="24" t="s">
        <v>114</v>
      </c>
      <c r="H7" s="24">
        <f>17290.02+1428</f>
        <v>18718.02</v>
      </c>
      <c r="I7" s="24"/>
      <c r="J7" s="24"/>
      <c r="K7" s="24"/>
      <c r="L7" s="24"/>
      <c r="M7" s="24"/>
      <c r="N7" s="26"/>
      <c r="O7" s="24"/>
      <c r="P7" s="24"/>
      <c r="Q7" s="24"/>
      <c r="R7" s="24"/>
      <c r="S7" s="24"/>
      <c r="T7" s="24"/>
    </row>
    <row r="8" spans="1:19" ht="51.75" customHeight="1" thickBot="1">
      <c r="A8" s="72" t="s">
        <v>122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0" t="s">
        <v>116</v>
      </c>
    </row>
    <row r="9" spans="1:19" ht="51.75" customHeight="1">
      <c r="A9" s="74"/>
      <c r="B9" s="75"/>
      <c r="C9" s="75"/>
      <c r="D9" s="75"/>
      <c r="E9" s="76"/>
      <c r="F9" s="86" t="s">
        <v>103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74"/>
      <c r="S9" s="71"/>
    </row>
    <row r="10" spans="1:19" s="1" customFormat="1" ht="51.75" customHeight="1">
      <c r="A10" s="79" t="s">
        <v>63</v>
      </c>
      <c r="B10" s="79" t="s">
        <v>0</v>
      </c>
      <c r="C10" s="77" t="s">
        <v>1</v>
      </c>
      <c r="D10" s="77" t="s">
        <v>110</v>
      </c>
      <c r="E10" s="77" t="s">
        <v>121</v>
      </c>
      <c r="F10" s="87" t="s">
        <v>54</v>
      </c>
      <c r="G10" s="77" t="s">
        <v>55</v>
      </c>
      <c r="H10" s="77" t="s">
        <v>46</v>
      </c>
      <c r="I10" s="77" t="s">
        <v>47</v>
      </c>
      <c r="J10" s="77" t="s">
        <v>48</v>
      </c>
      <c r="K10" s="77" t="s">
        <v>120</v>
      </c>
      <c r="L10" s="77" t="s">
        <v>119</v>
      </c>
      <c r="M10" s="84" t="s">
        <v>56</v>
      </c>
      <c r="N10" s="85"/>
      <c r="O10" s="77" t="s">
        <v>62</v>
      </c>
      <c r="P10" s="91" t="s">
        <v>59</v>
      </c>
      <c r="Q10" s="77" t="s">
        <v>60</v>
      </c>
      <c r="R10" s="81" t="s">
        <v>61</v>
      </c>
      <c r="S10" s="71"/>
    </row>
    <row r="11" spans="1:19" s="1" customFormat="1" ht="63.75" customHeight="1" thickBot="1">
      <c r="A11" s="80"/>
      <c r="B11" s="80"/>
      <c r="C11" s="78"/>
      <c r="D11" s="78"/>
      <c r="E11" s="78"/>
      <c r="F11" s="88"/>
      <c r="G11" s="78"/>
      <c r="H11" s="78"/>
      <c r="I11" s="78"/>
      <c r="J11" s="83"/>
      <c r="K11" s="83"/>
      <c r="L11" s="83"/>
      <c r="M11" s="50" t="s">
        <v>57</v>
      </c>
      <c r="N11" s="50" t="s">
        <v>58</v>
      </c>
      <c r="O11" s="78"/>
      <c r="P11" s="92"/>
      <c r="Q11" s="78"/>
      <c r="R11" s="82"/>
      <c r="S11" s="71"/>
    </row>
    <row r="12" spans="1:19" s="19" customFormat="1" ht="24.75" customHeight="1" thickBot="1">
      <c r="A12" s="17">
        <v>1</v>
      </c>
      <c r="B12" s="18">
        <v>2</v>
      </c>
      <c r="C12" s="18">
        <v>3</v>
      </c>
      <c r="D12" s="18"/>
      <c r="E12" s="18">
        <v>4</v>
      </c>
      <c r="F12" s="56">
        <v>5</v>
      </c>
      <c r="G12" s="56">
        <v>6</v>
      </c>
      <c r="H12" s="56">
        <v>7</v>
      </c>
      <c r="I12" s="46">
        <v>8</v>
      </c>
      <c r="J12" s="57">
        <v>9</v>
      </c>
      <c r="K12" s="57">
        <v>10</v>
      </c>
      <c r="L12" s="58">
        <v>11</v>
      </c>
      <c r="M12" s="59">
        <v>12</v>
      </c>
      <c r="N12" s="42">
        <v>13</v>
      </c>
      <c r="O12" s="27">
        <v>14</v>
      </c>
      <c r="P12" s="47">
        <v>15</v>
      </c>
      <c r="Q12" s="46">
        <v>16</v>
      </c>
      <c r="R12" s="27">
        <v>17</v>
      </c>
      <c r="S12" s="27">
        <v>18</v>
      </c>
    </row>
    <row r="13" spans="1:19" s="13" customFormat="1" ht="51.75" customHeight="1" thickBot="1">
      <c r="A13" s="8" t="s">
        <v>2</v>
      </c>
      <c r="B13" s="49" t="s">
        <v>3</v>
      </c>
      <c r="C13" s="9">
        <v>1990</v>
      </c>
      <c r="D13" s="10">
        <v>731</v>
      </c>
      <c r="E13" s="10">
        <v>731</v>
      </c>
      <c r="F13" s="60">
        <f>F4/E56*E13</f>
        <v>44718.986800355684</v>
      </c>
      <c r="G13" s="60">
        <f>(G4/H4*E13)</f>
        <v>44796.52734269512</v>
      </c>
      <c r="H13" s="60">
        <v>-15816</v>
      </c>
      <c r="I13" s="60">
        <f>546+914.34</f>
        <v>1460.3400000000001</v>
      </c>
      <c r="J13" s="61">
        <v>0</v>
      </c>
      <c r="K13" s="62">
        <v>2567.66</v>
      </c>
      <c r="L13" s="63">
        <v>5760</v>
      </c>
      <c r="M13" s="64">
        <f>M4/E56*E13</f>
        <v>31032.2847595998</v>
      </c>
      <c r="N13" s="41">
        <f>M13*54.48%</f>
        <v>16906.38873702997</v>
      </c>
      <c r="O13" s="41">
        <f>SUM(F13:M13)</f>
        <v>114519.7989026506</v>
      </c>
      <c r="P13" s="65">
        <v>133301.62</v>
      </c>
      <c r="Q13" s="65">
        <v>96665.39</v>
      </c>
      <c r="R13" s="43">
        <f aca="true" t="shared" si="0" ref="R13:R55">Q13-O13</f>
        <v>-17854.408902650597</v>
      </c>
      <c r="S13" s="44" t="s">
        <v>88</v>
      </c>
    </row>
    <row r="14" spans="1:19" s="13" customFormat="1" ht="51.75" customHeight="1" thickBot="1">
      <c r="A14" s="11">
        <v>2</v>
      </c>
      <c r="B14" s="49" t="s">
        <v>8</v>
      </c>
      <c r="C14" s="7">
        <v>1978</v>
      </c>
      <c r="D14" s="7">
        <v>868.6</v>
      </c>
      <c r="E14" s="7">
        <v>868.6</v>
      </c>
      <c r="F14" s="66">
        <f>F4/E56*E14</f>
        <v>53136.67843336381</v>
      </c>
      <c r="G14" s="66">
        <f>(G4/H4*E14)</f>
        <v>53228.81484249655</v>
      </c>
      <c r="H14" s="66">
        <v>4951.12</v>
      </c>
      <c r="I14" s="66">
        <v>912.97</v>
      </c>
      <c r="J14" s="67">
        <v>0</v>
      </c>
      <c r="K14" s="62">
        <v>3434.95</v>
      </c>
      <c r="L14" s="63">
        <v>0</v>
      </c>
      <c r="M14" s="68">
        <f>M4/E56*E14</f>
        <v>36873.656008465645</v>
      </c>
      <c r="N14" s="3">
        <f aca="true" t="shared" si="1" ref="N14:N55">M14*54.48%</f>
        <v>20088.76779341208</v>
      </c>
      <c r="O14" s="3">
        <f>SUM(F14:M14)</f>
        <v>152538.18928432598</v>
      </c>
      <c r="P14" s="6">
        <v>144656.3</v>
      </c>
      <c r="Q14" s="6">
        <v>109138.94</v>
      </c>
      <c r="R14" s="2">
        <f t="shared" si="0"/>
        <v>-43399.24928432598</v>
      </c>
      <c r="S14" s="4" t="s">
        <v>89</v>
      </c>
    </row>
    <row r="15" spans="1:19" s="13" customFormat="1" ht="51.75" customHeight="1" thickBot="1">
      <c r="A15" s="11">
        <v>3</v>
      </c>
      <c r="B15" s="49" t="s">
        <v>9</v>
      </c>
      <c r="C15" s="7">
        <v>1988</v>
      </c>
      <c r="D15" s="7">
        <v>732.3</v>
      </c>
      <c r="E15" s="7">
        <v>732.3</v>
      </c>
      <c r="F15" s="66">
        <f>F4/E56*E15</f>
        <v>44798.514410260555</v>
      </c>
      <c r="G15" s="66">
        <f>(G4/H4*E15)</f>
        <v>44876.192849597304</v>
      </c>
      <c r="H15" s="66">
        <v>1194.45</v>
      </c>
      <c r="I15" s="66">
        <f>965+769.71</f>
        <v>1734.71</v>
      </c>
      <c r="J15" s="67">
        <v>0</v>
      </c>
      <c r="K15" s="62">
        <v>1698.44</v>
      </c>
      <c r="L15" s="63">
        <v>0</v>
      </c>
      <c r="M15" s="68">
        <f>M4/E56*E15</f>
        <v>31087.47213331728</v>
      </c>
      <c r="N15" s="3">
        <f t="shared" si="1"/>
        <v>16936.45481823125</v>
      </c>
      <c r="O15" s="3">
        <f aca="true" t="shared" si="2" ref="O15:O55">SUM(F15:M15)</f>
        <v>125389.77939317514</v>
      </c>
      <c r="P15" s="6">
        <v>135135.18</v>
      </c>
      <c r="Q15" s="6">
        <v>116020.41</v>
      </c>
      <c r="R15" s="2">
        <f t="shared" si="0"/>
        <v>-9369.369393175133</v>
      </c>
      <c r="S15" s="4" t="s">
        <v>78</v>
      </c>
    </row>
    <row r="16" spans="1:19" s="13" customFormat="1" ht="51.75" customHeight="1" thickBot="1">
      <c r="A16" s="11">
        <v>4</v>
      </c>
      <c r="B16" s="49" t="s">
        <v>4</v>
      </c>
      <c r="C16" s="7">
        <v>1991</v>
      </c>
      <c r="D16" s="7">
        <v>719.2</v>
      </c>
      <c r="E16" s="7">
        <v>719.2</v>
      </c>
      <c r="F16" s="66">
        <f>F4/E56*E16</f>
        <v>43997.12080275761</v>
      </c>
      <c r="G16" s="66">
        <f>(G4/H4*E16)</f>
        <v>44073.40966465982</v>
      </c>
      <c r="H16" s="66">
        <v>3494.56</v>
      </c>
      <c r="I16" s="66">
        <f>806+856.94</f>
        <v>1662.94</v>
      </c>
      <c r="J16" s="67">
        <v>0</v>
      </c>
      <c r="K16" s="62">
        <v>1724.27</v>
      </c>
      <c r="L16" s="63">
        <v>3600</v>
      </c>
      <c r="M16" s="68">
        <f>M4/E56*E16</f>
        <v>30531.353213548806</v>
      </c>
      <c r="N16" s="3">
        <f t="shared" si="1"/>
        <v>16633.48123074139</v>
      </c>
      <c r="O16" s="3">
        <f t="shared" si="2"/>
        <v>129083.65368096624</v>
      </c>
      <c r="P16" s="6">
        <v>132942.46</v>
      </c>
      <c r="Q16" s="6">
        <v>124939.86</v>
      </c>
      <c r="R16" s="2">
        <f t="shared" si="0"/>
        <v>-4143.793680966235</v>
      </c>
      <c r="S16" s="12" t="s">
        <v>77</v>
      </c>
    </row>
    <row r="17" spans="1:19" s="13" customFormat="1" ht="51.75" customHeight="1" thickBot="1">
      <c r="A17" s="11">
        <v>5</v>
      </c>
      <c r="B17" s="49" t="s">
        <v>28</v>
      </c>
      <c r="C17" s="7">
        <v>1991</v>
      </c>
      <c r="D17" s="7">
        <v>721.5</v>
      </c>
      <c r="E17" s="7">
        <v>721.5</v>
      </c>
      <c r="F17" s="66">
        <f>F4/E56*E17</f>
        <v>44137.823497204685</v>
      </c>
      <c r="G17" s="66">
        <f>(G4/H4*E17)</f>
        <v>44214.35633071754</v>
      </c>
      <c r="H17" s="66">
        <v>1871.9</v>
      </c>
      <c r="I17" s="66">
        <f>758.36</f>
        <v>758.36</v>
      </c>
      <c r="J17" s="67">
        <v>0</v>
      </c>
      <c r="K17" s="62">
        <v>1698.44</v>
      </c>
      <c r="L17" s="63">
        <v>3600</v>
      </c>
      <c r="M17" s="68">
        <f>M4/E56*E17</f>
        <v>30628.99241320281</v>
      </c>
      <c r="N17" s="3">
        <f t="shared" si="1"/>
        <v>16686.67506671289</v>
      </c>
      <c r="O17" s="3">
        <f t="shared" si="2"/>
        <v>126909.87224112503</v>
      </c>
      <c r="P17" s="6">
        <v>133380.76</v>
      </c>
      <c r="Q17" s="6">
        <v>118576.5</v>
      </c>
      <c r="R17" s="2">
        <f t="shared" si="0"/>
        <v>-8333.372241125035</v>
      </c>
      <c r="S17" s="12" t="s">
        <v>75</v>
      </c>
    </row>
    <row r="18" spans="1:19" s="13" customFormat="1" ht="52.5" customHeight="1" thickBot="1">
      <c r="A18" s="11">
        <v>6</v>
      </c>
      <c r="B18" s="49" t="s">
        <v>10</v>
      </c>
      <c r="C18" s="7">
        <v>1989</v>
      </c>
      <c r="D18" s="7">
        <v>4255.9</v>
      </c>
      <c r="E18" s="7">
        <v>4255.9</v>
      </c>
      <c r="F18" s="66">
        <f>F4/E56*E18</f>
        <v>260355.04230319252</v>
      </c>
      <c r="G18" s="66">
        <f>(G4/H4*E18)</f>
        <v>260806.48525003574</v>
      </c>
      <c r="H18" s="66">
        <v>31099.54</v>
      </c>
      <c r="I18" s="66">
        <f>31559.17+11493.32</f>
        <v>43052.49</v>
      </c>
      <c r="J18" s="67">
        <v>0</v>
      </c>
      <c r="K18" s="62">
        <v>10151.96</v>
      </c>
      <c r="L18" s="63">
        <v>28800</v>
      </c>
      <c r="M18" s="68">
        <f>M4/E56*E18</f>
        <v>180670.72600325686</v>
      </c>
      <c r="N18" s="3">
        <f t="shared" si="1"/>
        <v>98429.41152657433</v>
      </c>
      <c r="O18" s="3">
        <f t="shared" si="2"/>
        <v>814936.243556485</v>
      </c>
      <c r="P18" s="6">
        <v>792951.44</v>
      </c>
      <c r="Q18" s="6">
        <v>693067.33</v>
      </c>
      <c r="R18" s="2">
        <f t="shared" si="0"/>
        <v>-121868.91355648509</v>
      </c>
      <c r="S18" s="4" t="s">
        <v>86</v>
      </c>
    </row>
    <row r="19" spans="1:19" s="13" customFormat="1" ht="51.75" customHeight="1" thickBot="1">
      <c r="A19" s="11">
        <v>7</v>
      </c>
      <c r="B19" s="49" t="s">
        <v>11</v>
      </c>
      <c r="C19" s="7">
        <v>1988</v>
      </c>
      <c r="D19" s="7">
        <v>4245.1</v>
      </c>
      <c r="E19" s="7">
        <v>4245.1</v>
      </c>
      <c r="F19" s="66">
        <f>F4/E56*E19</f>
        <v>259694.3513901367</v>
      </c>
      <c r="G19" s="66">
        <f>(G4/H4*E19)</f>
        <v>260144.64873115602</v>
      </c>
      <c r="H19" s="66">
        <v>32211.44</v>
      </c>
      <c r="I19" s="66">
        <f>13150.06+7254.97</f>
        <v>20405.03</v>
      </c>
      <c r="J19" s="67">
        <v>3156.22</v>
      </c>
      <c r="K19" s="62">
        <v>10151.96</v>
      </c>
      <c r="L19" s="63">
        <v>0</v>
      </c>
      <c r="M19" s="68">
        <f>M4/E56*E19</f>
        <v>180212.24628314242</v>
      </c>
      <c r="N19" s="3">
        <f t="shared" si="1"/>
        <v>98179.63177505598</v>
      </c>
      <c r="O19" s="3">
        <f t="shared" si="2"/>
        <v>765975.8964044352</v>
      </c>
      <c r="P19" s="6">
        <v>788229.66</v>
      </c>
      <c r="Q19" s="6">
        <v>688131.95</v>
      </c>
      <c r="R19" s="2">
        <f t="shared" si="0"/>
        <v>-77843.9464044352</v>
      </c>
      <c r="S19" s="4" t="s">
        <v>85</v>
      </c>
    </row>
    <row r="20" spans="1:19" s="13" customFormat="1" ht="51.75" customHeight="1" thickBot="1">
      <c r="A20" s="11">
        <v>8</v>
      </c>
      <c r="B20" s="49" t="s">
        <v>5</v>
      </c>
      <c r="C20" s="7">
        <v>1978</v>
      </c>
      <c r="D20" s="7">
        <v>772.1</v>
      </c>
      <c r="E20" s="7">
        <v>772.1</v>
      </c>
      <c r="F20" s="66">
        <f>F4/E56*E20</f>
        <v>47233.28277504053</v>
      </c>
      <c r="G20" s="66">
        <f>(G4/H4*E20)</f>
        <v>47315.18298398755</v>
      </c>
      <c r="H20" s="66">
        <v>6130.97</v>
      </c>
      <c r="I20" s="66">
        <v>811.54</v>
      </c>
      <c r="J20" s="67">
        <v>0</v>
      </c>
      <c r="K20" s="62">
        <v>2498.59</v>
      </c>
      <c r="L20" s="63">
        <v>0</v>
      </c>
      <c r="M20" s="68">
        <f>M4/E56*E20</f>
        <v>32777.05480559098</v>
      </c>
      <c r="N20" s="3">
        <f t="shared" si="1"/>
        <v>17856.939458085966</v>
      </c>
      <c r="O20" s="3">
        <f t="shared" si="2"/>
        <v>136766.62056461905</v>
      </c>
      <c r="P20" s="6">
        <v>129305.92</v>
      </c>
      <c r="Q20" s="6">
        <v>111904.17</v>
      </c>
      <c r="R20" s="2">
        <f t="shared" si="0"/>
        <v>-24862.450564619052</v>
      </c>
      <c r="S20" s="12" t="s">
        <v>49</v>
      </c>
    </row>
    <row r="21" spans="1:19" s="13" customFormat="1" ht="51.75" customHeight="1" thickBot="1">
      <c r="A21" s="11">
        <v>9</v>
      </c>
      <c r="B21" s="49" t="s">
        <v>12</v>
      </c>
      <c r="C21" s="7">
        <v>1979</v>
      </c>
      <c r="D21" s="7">
        <v>779.4</v>
      </c>
      <c r="E21" s="7">
        <v>779.4</v>
      </c>
      <c r="F21" s="66">
        <f>F4/E56*E21</f>
        <v>47679.86089219866</v>
      </c>
      <c r="G21" s="66">
        <f>(G4/H4*E21)</f>
        <v>47762.53544582294</v>
      </c>
      <c r="H21" s="66">
        <v>9812.31</v>
      </c>
      <c r="I21" s="66">
        <v>819.22</v>
      </c>
      <c r="J21" s="67">
        <v>0</v>
      </c>
      <c r="K21" s="62">
        <v>2498.58</v>
      </c>
      <c r="L21" s="63">
        <v>0</v>
      </c>
      <c r="M21" s="68">
        <f>M4/E56*E21</f>
        <v>33086.95313492761</v>
      </c>
      <c r="N21" s="3">
        <f t="shared" si="1"/>
        <v>18025.772067908558</v>
      </c>
      <c r="O21" s="3">
        <f t="shared" si="2"/>
        <v>141659.4594729492</v>
      </c>
      <c r="P21" s="6">
        <v>129822.6</v>
      </c>
      <c r="Q21" s="6">
        <v>112325.49</v>
      </c>
      <c r="R21" s="2">
        <f t="shared" si="0"/>
        <v>-29333.969472949204</v>
      </c>
      <c r="S21" s="4" t="s">
        <v>97</v>
      </c>
    </row>
    <row r="22" spans="1:19" s="13" customFormat="1" ht="51.75" customHeight="1" thickBot="1">
      <c r="A22" s="11">
        <v>10</v>
      </c>
      <c r="B22" s="49" t="s">
        <v>6</v>
      </c>
      <c r="C22" s="7">
        <v>1991</v>
      </c>
      <c r="D22" s="7">
        <v>5272.8</v>
      </c>
      <c r="E22" s="7">
        <v>5272.8</v>
      </c>
      <c r="F22" s="66">
        <f>F4/E56*E22</f>
        <v>322563.9857741661</v>
      </c>
      <c r="G22" s="66">
        <f>(G4/H4*E22)</f>
        <v>323123.29599529796</v>
      </c>
      <c r="H22" s="66">
        <v>14425.7</v>
      </c>
      <c r="I22" s="66">
        <f>27313.94+9844.17</f>
        <v>37158.11</v>
      </c>
      <c r="J22" s="67">
        <v>4108.58</v>
      </c>
      <c r="K22" s="62">
        <v>10642.73</v>
      </c>
      <c r="L22" s="63">
        <v>30000</v>
      </c>
      <c r="M22" s="68">
        <f>M4/E56*E22</f>
        <v>223839.9877981092</v>
      </c>
      <c r="N22" s="3">
        <f t="shared" si="1"/>
        <v>121948.0253524099</v>
      </c>
      <c r="O22" s="3">
        <f t="shared" si="2"/>
        <v>965862.3895675731</v>
      </c>
      <c r="P22" s="6">
        <v>983191.68</v>
      </c>
      <c r="Q22" s="6">
        <v>890488.66</v>
      </c>
      <c r="R22" s="2">
        <f t="shared" si="0"/>
        <v>-75373.72956757306</v>
      </c>
      <c r="S22" s="4" t="s">
        <v>98</v>
      </c>
    </row>
    <row r="23" spans="1:19" s="13" customFormat="1" ht="51.75" customHeight="1" thickBot="1">
      <c r="A23" s="11">
        <v>11</v>
      </c>
      <c r="B23" s="49" t="s">
        <v>41</v>
      </c>
      <c r="C23" s="7">
        <v>1984</v>
      </c>
      <c r="D23" s="7">
        <v>3575.2</v>
      </c>
      <c r="E23" s="7">
        <v>3575.2</v>
      </c>
      <c r="F23" s="66">
        <f>F4/E56*E23</f>
        <v>218713.16225531002</v>
      </c>
      <c r="G23" s="66">
        <f>(G4/H4*E23)</f>
        <v>219092.40021286398</v>
      </c>
      <c r="H23" s="66">
        <v>44669.14</v>
      </c>
      <c r="I23" s="66">
        <f>4989.02+3834.85</f>
        <v>8823.87</v>
      </c>
      <c r="J23" s="67">
        <v>0</v>
      </c>
      <c r="K23" s="62">
        <v>0</v>
      </c>
      <c r="L23" s="63">
        <v>0</v>
      </c>
      <c r="M23" s="68">
        <f>M4/E56*E23</f>
        <v>151773.7680882643</v>
      </c>
      <c r="N23" s="3">
        <f t="shared" si="1"/>
        <v>82686.34885448638</v>
      </c>
      <c r="O23" s="3">
        <f t="shared" si="2"/>
        <v>643072.3405564383</v>
      </c>
      <c r="P23" s="6">
        <v>689105.14</v>
      </c>
      <c r="Q23" s="6">
        <v>515906.19</v>
      </c>
      <c r="R23" s="2">
        <f t="shared" si="0"/>
        <v>-127166.15055643831</v>
      </c>
      <c r="S23" s="4" t="s">
        <v>102</v>
      </c>
    </row>
    <row r="24" spans="1:19" s="13" customFormat="1" ht="51.75" customHeight="1" thickBot="1">
      <c r="A24" s="11">
        <v>12</v>
      </c>
      <c r="B24" s="49" t="s">
        <v>112</v>
      </c>
      <c r="C24" s="7">
        <v>1978</v>
      </c>
      <c r="D24" s="7">
        <v>271.7</v>
      </c>
      <c r="E24" s="7">
        <v>271.7</v>
      </c>
      <c r="F24" s="66">
        <f>F4/E56*E24</f>
        <v>16621.27047011852</v>
      </c>
      <c r="G24" s="66">
        <f>(G4/H4*E24)</f>
        <v>16650.090942558498</v>
      </c>
      <c r="H24" s="62">
        <v>1958.98</v>
      </c>
      <c r="I24" s="66">
        <f>127+285.58</f>
        <v>412.58</v>
      </c>
      <c r="J24" s="67">
        <v>0</v>
      </c>
      <c r="K24" s="62">
        <v>1304.49</v>
      </c>
      <c r="L24" s="63">
        <v>0</v>
      </c>
      <c r="M24" s="68">
        <f>M4/E56*E24</f>
        <v>11534.16110695385</v>
      </c>
      <c r="N24" s="3">
        <f t="shared" si="1"/>
        <v>6283.810971068457</v>
      </c>
      <c r="O24" s="3">
        <f t="shared" si="2"/>
        <v>48481.57251963087</v>
      </c>
      <c r="P24" s="6">
        <v>48838.08</v>
      </c>
      <c r="Q24" s="6">
        <v>35919.05</v>
      </c>
      <c r="R24" s="2">
        <f t="shared" si="0"/>
        <v>-12562.522519630867</v>
      </c>
      <c r="S24" s="12" t="s">
        <v>51</v>
      </c>
    </row>
    <row r="25" spans="1:19" s="13" customFormat="1" ht="51.75" customHeight="1" thickBot="1">
      <c r="A25" s="11">
        <v>13</v>
      </c>
      <c r="B25" s="49" t="s">
        <v>113</v>
      </c>
      <c r="C25" s="7">
        <v>1977</v>
      </c>
      <c r="D25" s="14">
        <v>271</v>
      </c>
      <c r="E25" s="14">
        <v>271</v>
      </c>
      <c r="F25" s="66">
        <f>F4/E56*E25</f>
        <v>16578.447910938972</v>
      </c>
      <c r="G25" s="66">
        <f>(G4/H4*E25)</f>
        <v>16607.194131149627</v>
      </c>
      <c r="H25" s="66">
        <v>349.37</v>
      </c>
      <c r="I25" s="66">
        <f>284.84</f>
        <v>284.84</v>
      </c>
      <c r="J25" s="67">
        <v>0</v>
      </c>
      <c r="K25" s="62">
        <v>1304.49</v>
      </c>
      <c r="L25" s="63">
        <v>0</v>
      </c>
      <c r="M25" s="68">
        <f>M4/E56*E25</f>
        <v>11504.444828798283</v>
      </c>
      <c r="N25" s="3">
        <f t="shared" si="1"/>
        <v>6267.621542729305</v>
      </c>
      <c r="O25" s="3">
        <f t="shared" si="2"/>
        <v>46628.78687088688</v>
      </c>
      <c r="P25" s="6">
        <v>49605.24</v>
      </c>
      <c r="Q25" s="6">
        <v>45723.86</v>
      </c>
      <c r="R25" s="2">
        <f t="shared" si="0"/>
        <v>-904.9268708868767</v>
      </c>
      <c r="S25" s="12"/>
    </row>
    <row r="26" spans="1:19" s="13" customFormat="1" ht="51.75" customHeight="1" thickBot="1">
      <c r="A26" s="11">
        <v>14</v>
      </c>
      <c r="B26" s="49" t="s">
        <v>39</v>
      </c>
      <c r="C26" s="7">
        <v>1986</v>
      </c>
      <c r="D26" s="7">
        <v>3215.3</v>
      </c>
      <c r="E26" s="7">
        <v>3215.3</v>
      </c>
      <c r="F26" s="66">
        <f>F4/E56*E26</f>
        <v>196696.24932856858</v>
      </c>
      <c r="G26" s="66">
        <f>(G4/H4*E26)</f>
        <v>197037.31103278743</v>
      </c>
      <c r="H26" s="66">
        <v>25780.14</v>
      </c>
      <c r="I26" s="66">
        <f>2979.5+4686.75</f>
        <v>7666.25</v>
      </c>
      <c r="J26" s="67">
        <v>0</v>
      </c>
      <c r="K26" s="62">
        <v>7613.97</v>
      </c>
      <c r="L26" s="63">
        <v>0</v>
      </c>
      <c r="M26" s="68">
        <f>M4/E56*E26</f>
        <v>136495.35593370895</v>
      </c>
      <c r="N26" s="3">
        <f t="shared" si="1"/>
        <v>74362.66991268464</v>
      </c>
      <c r="O26" s="3">
        <f t="shared" si="2"/>
        <v>571289.276295065</v>
      </c>
      <c r="P26" s="6">
        <v>596027.84</v>
      </c>
      <c r="Q26" s="6">
        <v>547039.45</v>
      </c>
      <c r="R26" s="2">
        <f t="shared" si="0"/>
        <v>-24249.826295064995</v>
      </c>
      <c r="S26" s="4" t="s">
        <v>79</v>
      </c>
    </row>
    <row r="27" spans="1:19" s="13" customFormat="1" ht="51.75" customHeight="1" thickBot="1">
      <c r="A27" s="11">
        <v>15</v>
      </c>
      <c r="B27" s="49" t="s">
        <v>7</v>
      </c>
      <c r="C27" s="7">
        <v>1977</v>
      </c>
      <c r="D27" s="7">
        <v>841.9</v>
      </c>
      <c r="E27" s="7">
        <v>841.9</v>
      </c>
      <c r="F27" s="66">
        <f>F4/E56*E27</f>
        <v>51503.3036760868</v>
      </c>
      <c r="G27" s="66">
        <f>(G4/H4*E27)</f>
        <v>51592.607893043794</v>
      </c>
      <c r="H27" s="66">
        <v>-162.59</v>
      </c>
      <c r="I27" s="66">
        <f>7950.58+921.91</f>
        <v>8872.49</v>
      </c>
      <c r="J27" s="67">
        <v>9378.09</v>
      </c>
      <c r="K27" s="62">
        <v>2498.58</v>
      </c>
      <c r="L27" s="63">
        <v>0</v>
      </c>
      <c r="M27" s="68">
        <f>M4/E56*E27</f>
        <v>35740.19225596042</v>
      </c>
      <c r="N27" s="3">
        <f t="shared" si="1"/>
        <v>19471.256741047237</v>
      </c>
      <c r="O27" s="3">
        <f t="shared" si="2"/>
        <v>159422.673825091</v>
      </c>
      <c r="P27" s="6">
        <v>155635.12</v>
      </c>
      <c r="Q27" s="6">
        <v>143584.27</v>
      </c>
      <c r="R27" s="2">
        <f t="shared" si="0"/>
        <v>-15838.403825091023</v>
      </c>
      <c r="S27" s="12" t="s">
        <v>66</v>
      </c>
    </row>
    <row r="28" spans="1:19" s="13" customFormat="1" ht="51.75" customHeight="1" thickBot="1">
      <c r="A28" s="11">
        <v>16</v>
      </c>
      <c r="B28" s="49" t="s">
        <v>40</v>
      </c>
      <c r="C28" s="7">
        <v>1966</v>
      </c>
      <c r="D28" s="7">
        <v>180.9</v>
      </c>
      <c r="E28" s="7">
        <v>180.9</v>
      </c>
      <c r="F28" s="66">
        <f>F4/E56*E28</f>
        <v>11066.572793685831</v>
      </c>
      <c r="G28" s="66">
        <v>0</v>
      </c>
      <c r="H28" s="66">
        <v>3230.19</v>
      </c>
      <c r="I28" s="66">
        <v>0</v>
      </c>
      <c r="J28" s="67">
        <v>0</v>
      </c>
      <c r="K28" s="62">
        <v>729.72</v>
      </c>
      <c r="L28" s="63">
        <v>0</v>
      </c>
      <c r="M28" s="68">
        <f>M4/E56*E28</f>
        <v>7679.535311917379</v>
      </c>
      <c r="N28" s="3">
        <f t="shared" si="1"/>
        <v>4183.810837932588</v>
      </c>
      <c r="O28" s="3">
        <f t="shared" si="2"/>
        <v>22706.01810560321</v>
      </c>
      <c r="P28" s="6">
        <v>32485.34</v>
      </c>
      <c r="Q28" s="6">
        <v>30664.89</v>
      </c>
      <c r="R28" s="2">
        <f t="shared" si="0"/>
        <v>7958.871894396791</v>
      </c>
      <c r="S28" s="12" t="s">
        <v>50</v>
      </c>
    </row>
    <row r="29" spans="1:19" s="13" customFormat="1" ht="51.75" customHeight="1" thickBot="1">
      <c r="A29" s="11">
        <v>17</v>
      </c>
      <c r="B29" s="49" t="s">
        <v>13</v>
      </c>
      <c r="C29" s="7">
        <v>1974</v>
      </c>
      <c r="D29" s="7">
        <v>715.6</v>
      </c>
      <c r="E29" s="7">
        <v>715.6</v>
      </c>
      <c r="F29" s="66">
        <f>F4/E56*E29</f>
        <v>43776.89049840564</v>
      </c>
      <c r="G29" s="66">
        <f>(G4/H4*E29)</f>
        <v>43852.797491699894</v>
      </c>
      <c r="H29" s="66">
        <v>11165.84</v>
      </c>
      <c r="I29" s="66">
        <f>624+752.16</f>
        <v>1376.1599999999999</v>
      </c>
      <c r="J29" s="67">
        <v>0</v>
      </c>
      <c r="K29" s="62">
        <v>2567.66</v>
      </c>
      <c r="L29" s="63">
        <v>0</v>
      </c>
      <c r="M29" s="68">
        <f>M4/E56*E29</f>
        <v>30378.526640177315</v>
      </c>
      <c r="N29" s="3">
        <f t="shared" si="1"/>
        <v>16550.2213135686</v>
      </c>
      <c r="O29" s="3">
        <f t="shared" si="2"/>
        <v>133117.87463028287</v>
      </c>
      <c r="P29" s="6">
        <v>118580.08</v>
      </c>
      <c r="Q29" s="6">
        <v>109797.71</v>
      </c>
      <c r="R29" s="2">
        <f t="shared" si="0"/>
        <v>-23320.16463028286</v>
      </c>
      <c r="S29" s="12" t="s">
        <v>67</v>
      </c>
    </row>
    <row r="30" spans="1:19" s="13" customFormat="1" ht="51.75" customHeight="1" thickBot="1">
      <c r="A30" s="11">
        <v>18</v>
      </c>
      <c r="B30" s="49" t="s">
        <v>14</v>
      </c>
      <c r="C30" s="7">
        <v>1972</v>
      </c>
      <c r="D30" s="7">
        <v>714.9</v>
      </c>
      <c r="E30" s="7">
        <v>714.9</v>
      </c>
      <c r="F30" s="66">
        <f>F4/E56*E30</f>
        <v>43734.06793922609</v>
      </c>
      <c r="G30" s="66">
        <f>(G4/H4*E30)</f>
        <v>43809.90068029102</v>
      </c>
      <c r="H30" s="66">
        <v>13120.91</v>
      </c>
      <c r="I30" s="66">
        <f>1175+751.42</f>
        <v>1926.42</v>
      </c>
      <c r="J30" s="67">
        <v>0</v>
      </c>
      <c r="K30" s="62">
        <v>2588.31</v>
      </c>
      <c r="L30" s="63">
        <v>0</v>
      </c>
      <c r="M30" s="68">
        <f>M4/E56*E30</f>
        <v>30348.810362021744</v>
      </c>
      <c r="N30" s="3">
        <f t="shared" si="1"/>
        <v>16534.031885229444</v>
      </c>
      <c r="O30" s="3">
        <f t="shared" si="2"/>
        <v>135528.41898153885</v>
      </c>
      <c r="P30" s="6">
        <v>118481.04</v>
      </c>
      <c r="Q30" s="6">
        <v>102738.11</v>
      </c>
      <c r="R30" s="2">
        <f t="shared" si="0"/>
        <v>-32790.30898153885</v>
      </c>
      <c r="S30" s="12" t="s">
        <v>68</v>
      </c>
    </row>
    <row r="31" spans="1:19" s="13" customFormat="1" ht="51.75" customHeight="1" thickBot="1">
      <c r="A31" s="11">
        <v>19</v>
      </c>
      <c r="B31" s="49" t="s">
        <v>15</v>
      </c>
      <c r="C31" s="7">
        <v>1971</v>
      </c>
      <c r="D31" s="7">
        <v>715.2</v>
      </c>
      <c r="E31" s="7">
        <v>715.2</v>
      </c>
      <c r="F31" s="66">
        <f>F4/E56*E31</f>
        <v>43752.420464588766</v>
      </c>
      <c r="G31" s="66">
        <f>(G4/H4*E31)</f>
        <v>43828.28502803769</v>
      </c>
      <c r="H31" s="66">
        <v>6420.94</v>
      </c>
      <c r="I31" s="66">
        <f>774.03+1333.74</f>
        <v>2107.77</v>
      </c>
      <c r="J31" s="67">
        <v>3966.47</v>
      </c>
      <c r="K31" s="62">
        <v>2567.66</v>
      </c>
      <c r="L31" s="63">
        <v>0</v>
      </c>
      <c r="M31" s="68">
        <f>M4/E56*E31</f>
        <v>30361.545909802706</v>
      </c>
      <c r="N31" s="3">
        <f t="shared" si="1"/>
        <v>16540.97021166051</v>
      </c>
      <c r="O31" s="3">
        <f t="shared" si="2"/>
        <v>133005.09140242916</v>
      </c>
      <c r="P31" s="6">
        <v>118134.6</v>
      </c>
      <c r="Q31" s="6">
        <v>110852.85</v>
      </c>
      <c r="R31" s="2">
        <f t="shared" si="0"/>
        <v>-22152.24140242915</v>
      </c>
      <c r="S31" s="12" t="s">
        <v>52</v>
      </c>
    </row>
    <row r="32" spans="1:19" s="13" customFormat="1" ht="51.75" customHeight="1" thickBot="1">
      <c r="A32" s="11">
        <v>20</v>
      </c>
      <c r="B32" s="49" t="s">
        <v>16</v>
      </c>
      <c r="C32" s="7">
        <v>1981</v>
      </c>
      <c r="D32" s="7">
        <v>875.2</v>
      </c>
      <c r="E32" s="7">
        <v>875.2</v>
      </c>
      <c r="F32" s="66">
        <f>F4/E56*E32</f>
        <v>53540.433991342405</v>
      </c>
      <c r="G32" s="66">
        <f>(G4/H4*E32)</f>
        <v>53633.270492923075</v>
      </c>
      <c r="H32" s="66">
        <v>4413.65</v>
      </c>
      <c r="I32" s="66">
        <f>468+919.91</f>
        <v>1387.9099999999999</v>
      </c>
      <c r="J32" s="67">
        <v>0</v>
      </c>
      <c r="K32" s="62">
        <v>2291.94</v>
      </c>
      <c r="L32" s="63">
        <v>0</v>
      </c>
      <c r="M32" s="68">
        <f>M4/E56*E32</f>
        <v>37153.83805964671</v>
      </c>
      <c r="N32" s="3">
        <f t="shared" si="1"/>
        <v>20241.410974895527</v>
      </c>
      <c r="O32" s="3">
        <f t="shared" si="2"/>
        <v>152421.0425439122</v>
      </c>
      <c r="P32" s="6">
        <v>160625.22</v>
      </c>
      <c r="Q32" s="6">
        <v>130868.55</v>
      </c>
      <c r="R32" s="2">
        <f t="shared" si="0"/>
        <v>-21552.492543912187</v>
      </c>
      <c r="S32" s="4" t="s">
        <v>91</v>
      </c>
    </row>
    <row r="33" spans="1:19" s="13" customFormat="1" ht="51.75" customHeight="1" thickBot="1">
      <c r="A33" s="11">
        <v>21</v>
      </c>
      <c r="B33" s="49" t="s">
        <v>17</v>
      </c>
      <c r="C33" s="7">
        <v>1981</v>
      </c>
      <c r="D33" s="7">
        <v>875.4</v>
      </c>
      <c r="E33" s="7">
        <v>875.4</v>
      </c>
      <c r="F33" s="66">
        <f>F4/E56*E33</f>
        <v>53552.669008250836</v>
      </c>
      <c r="G33" s="66">
        <f>(G4/H4*E33)</f>
        <v>53645.52672475418</v>
      </c>
      <c r="H33" s="66">
        <v>5838.57</v>
      </c>
      <c r="I33" s="66">
        <f>1328.24+920.12</f>
        <v>2248.36</v>
      </c>
      <c r="J33" s="67">
        <v>4104.19</v>
      </c>
      <c r="K33" s="62">
        <v>2291.94</v>
      </c>
      <c r="L33" s="63">
        <v>0</v>
      </c>
      <c r="M33" s="68">
        <f>M4/E56*E33</f>
        <v>37162.32842483401</v>
      </c>
      <c r="N33" s="3">
        <f t="shared" si="1"/>
        <v>20246.03652584957</v>
      </c>
      <c r="O33" s="3">
        <f t="shared" si="2"/>
        <v>158843.58415783904</v>
      </c>
      <c r="P33" s="6">
        <v>161272.4</v>
      </c>
      <c r="Q33" s="6">
        <v>146188.94</v>
      </c>
      <c r="R33" s="2">
        <f t="shared" si="0"/>
        <v>-12654.644157839037</v>
      </c>
      <c r="S33" s="4" t="s">
        <v>90</v>
      </c>
    </row>
    <row r="34" spans="1:19" s="13" customFormat="1" ht="51.75" customHeight="1" thickBot="1">
      <c r="A34" s="11">
        <v>22</v>
      </c>
      <c r="B34" s="49" t="s">
        <v>18</v>
      </c>
      <c r="C34" s="7">
        <v>1986</v>
      </c>
      <c r="D34" s="7">
        <v>3099.3</v>
      </c>
      <c r="E34" s="7">
        <v>3099.3</v>
      </c>
      <c r="F34" s="66">
        <f>F4/E56*E34</f>
        <v>189599.9395216722</v>
      </c>
      <c r="G34" s="66">
        <f>(G4/H4*E34)</f>
        <v>189928.69657074552</v>
      </c>
      <c r="H34" s="66">
        <v>-1072.95</v>
      </c>
      <c r="I34" s="66">
        <f>6194.16+3257.63</f>
        <v>9451.79</v>
      </c>
      <c r="J34" s="67">
        <v>0</v>
      </c>
      <c r="K34" s="62">
        <v>10141.63</v>
      </c>
      <c r="L34" s="63">
        <v>0</v>
      </c>
      <c r="M34" s="68">
        <f>M4/E56*E34</f>
        <v>131570.94412507204</v>
      </c>
      <c r="N34" s="3">
        <f t="shared" si="1"/>
        <v>71679.85035933924</v>
      </c>
      <c r="O34" s="3">
        <f t="shared" si="2"/>
        <v>529620.0502174897</v>
      </c>
      <c r="P34" s="6">
        <v>581461.96</v>
      </c>
      <c r="Q34" s="6">
        <v>492702.98</v>
      </c>
      <c r="R34" s="2">
        <f t="shared" si="0"/>
        <v>-36917.07021748973</v>
      </c>
      <c r="S34" s="4" t="s">
        <v>100</v>
      </c>
    </row>
    <row r="35" spans="1:19" s="15" customFormat="1" ht="51.75" customHeight="1" thickBot="1">
      <c r="A35" s="11">
        <v>23</v>
      </c>
      <c r="B35" s="49" t="s">
        <v>19</v>
      </c>
      <c r="C35" s="7">
        <v>1981</v>
      </c>
      <c r="D35" s="7">
        <v>878.4</v>
      </c>
      <c r="E35" s="7">
        <v>878.4</v>
      </c>
      <c r="F35" s="66">
        <f>F4/E56*E35</f>
        <v>53736.19426187747</v>
      </c>
      <c r="G35" s="66">
        <f>(G4/H4*E35)</f>
        <v>53829.37020222077</v>
      </c>
      <c r="H35" s="66">
        <v>5765.63</v>
      </c>
      <c r="I35" s="66">
        <f>657+923.27</f>
        <v>1580.27</v>
      </c>
      <c r="J35" s="67">
        <v>2558.95</v>
      </c>
      <c r="K35" s="62">
        <v>2291.94</v>
      </c>
      <c r="L35" s="63">
        <v>0</v>
      </c>
      <c r="M35" s="68">
        <f>M4/E56*E35</f>
        <v>37289.683902643585</v>
      </c>
      <c r="N35" s="3">
        <f t="shared" si="1"/>
        <v>20315.419790160224</v>
      </c>
      <c r="O35" s="3">
        <f t="shared" si="2"/>
        <v>157052.03836674185</v>
      </c>
      <c r="P35" s="6">
        <v>161180.58</v>
      </c>
      <c r="Q35" s="6">
        <v>141397.91</v>
      </c>
      <c r="R35" s="2">
        <f t="shared" si="0"/>
        <v>-15654.128366741847</v>
      </c>
      <c r="S35" s="4" t="s">
        <v>92</v>
      </c>
    </row>
    <row r="36" spans="1:19" s="15" customFormat="1" ht="51.75" customHeight="1" thickBot="1">
      <c r="A36" s="11">
        <v>24</v>
      </c>
      <c r="B36" s="49" t="s">
        <v>23</v>
      </c>
      <c r="C36" s="7">
        <v>1981</v>
      </c>
      <c r="D36" s="7">
        <v>858.9</v>
      </c>
      <c r="E36" s="7">
        <v>858.9</v>
      </c>
      <c r="F36" s="66">
        <f>F4/E56*E36</f>
        <v>52543.28011330437</v>
      </c>
      <c r="G36" s="66">
        <f>(G4/H4*E36)</f>
        <v>52634.38759868787</v>
      </c>
      <c r="H36" s="66">
        <v>5215.44</v>
      </c>
      <c r="I36" s="66">
        <f>7577.39+902.78</f>
        <v>8480.17</v>
      </c>
      <c r="J36" s="67">
        <v>0</v>
      </c>
      <c r="K36" s="62">
        <v>2291.94</v>
      </c>
      <c r="L36" s="63">
        <v>0</v>
      </c>
      <c r="M36" s="68">
        <f>M4/E56*E36</f>
        <v>36461.87329688135</v>
      </c>
      <c r="N36" s="3">
        <f t="shared" si="1"/>
        <v>19864.428572140958</v>
      </c>
      <c r="O36" s="3">
        <f t="shared" si="2"/>
        <v>157627.0910088736</v>
      </c>
      <c r="P36" s="6">
        <v>158087.82</v>
      </c>
      <c r="Q36" s="6">
        <v>124231.44</v>
      </c>
      <c r="R36" s="2">
        <f t="shared" si="0"/>
        <v>-33395.651008873596</v>
      </c>
      <c r="S36" s="4" t="s">
        <v>101</v>
      </c>
    </row>
    <row r="37" spans="1:19" s="13" customFormat="1" ht="51.75" customHeight="1" thickBot="1">
      <c r="A37" s="11">
        <v>25</v>
      </c>
      <c r="B37" s="49" t="s">
        <v>20</v>
      </c>
      <c r="C37" s="7">
        <v>1983</v>
      </c>
      <c r="D37" s="7">
        <v>3016.4</v>
      </c>
      <c r="E37" s="7">
        <v>3016.4</v>
      </c>
      <c r="F37" s="66">
        <f>F4/E56*E37</f>
        <v>184528.52501312297</v>
      </c>
      <c r="G37" s="66">
        <f>(G4/H4*E37)</f>
        <v>184848.48847675178</v>
      </c>
      <c r="H37" s="66">
        <v>12786</v>
      </c>
      <c r="I37" s="66">
        <f>1289+13170.5</f>
        <v>14459.5</v>
      </c>
      <c r="J37" s="67">
        <v>0</v>
      </c>
      <c r="K37" s="62">
        <v>7918.76</v>
      </c>
      <c r="L37" s="63">
        <v>0</v>
      </c>
      <c r="M37" s="68">
        <f>M4/E56*E37</f>
        <v>128051.68775493412</v>
      </c>
      <c r="N37" s="3">
        <f t="shared" si="1"/>
        <v>69762.5594888881</v>
      </c>
      <c r="O37" s="3">
        <f t="shared" si="2"/>
        <v>532592.9612448089</v>
      </c>
      <c r="P37" s="6">
        <v>559237.96</v>
      </c>
      <c r="Q37" s="6">
        <v>499071.24</v>
      </c>
      <c r="R37" s="2">
        <f t="shared" si="0"/>
        <v>-33521.72124480887</v>
      </c>
      <c r="S37" s="12" t="s">
        <v>111</v>
      </c>
    </row>
    <row r="38" spans="1:19" s="13" customFormat="1" ht="51.75" customHeight="1" thickBot="1">
      <c r="A38" s="11">
        <v>26</v>
      </c>
      <c r="B38" s="49" t="s">
        <v>21</v>
      </c>
      <c r="C38" s="7">
        <v>1982</v>
      </c>
      <c r="D38" s="7">
        <v>878.3</v>
      </c>
      <c r="E38" s="7">
        <v>878.3</v>
      </c>
      <c r="F38" s="66">
        <f>F4/E56*E38</f>
        <v>53730.07675342325</v>
      </c>
      <c r="G38" s="66">
        <f>(G4/H4*E38)</f>
        <v>53823.242086305225</v>
      </c>
      <c r="H38" s="66">
        <v>4855.33</v>
      </c>
      <c r="I38" s="66">
        <v>923.17</v>
      </c>
      <c r="J38" s="67">
        <v>955.23</v>
      </c>
      <c r="K38" s="62">
        <v>2307.44</v>
      </c>
      <c r="L38" s="63">
        <v>0</v>
      </c>
      <c r="M38" s="68">
        <f>M4/E56*E38</f>
        <v>37285.43872004993</v>
      </c>
      <c r="N38" s="3">
        <f t="shared" si="1"/>
        <v>20313.107014683203</v>
      </c>
      <c r="O38" s="3">
        <f t="shared" si="2"/>
        <v>153879.9275597784</v>
      </c>
      <c r="P38" s="6">
        <v>160862.94</v>
      </c>
      <c r="Q38" s="6">
        <v>150733.9</v>
      </c>
      <c r="R38" s="2">
        <f t="shared" si="0"/>
        <v>-3146.0275597784203</v>
      </c>
      <c r="S38" s="4" t="s">
        <v>93</v>
      </c>
    </row>
    <row r="39" spans="1:19" s="13" customFormat="1" ht="51.75" customHeight="1" thickBot="1">
      <c r="A39" s="11">
        <v>27</v>
      </c>
      <c r="B39" s="49" t="s">
        <v>22</v>
      </c>
      <c r="C39" s="7">
        <v>1992</v>
      </c>
      <c r="D39" s="7">
        <v>2553.3</v>
      </c>
      <c r="E39" s="7">
        <v>2553.3</v>
      </c>
      <c r="F39" s="66">
        <f>F4/E56*E39</f>
        <v>156198.34336162542</v>
      </c>
      <c r="G39" s="66">
        <f>(G4/H4*E39)</f>
        <v>156469.18367182414</v>
      </c>
      <c r="H39" s="66">
        <v>19146.22</v>
      </c>
      <c r="I39" s="66">
        <f>2137+4874.74</f>
        <v>7011.74</v>
      </c>
      <c r="J39" s="67">
        <v>4347.57</v>
      </c>
      <c r="K39" s="62">
        <v>10740.59</v>
      </c>
      <c r="L39" s="63">
        <v>0</v>
      </c>
      <c r="M39" s="68">
        <f>M4/E56*E39</f>
        <v>108392.24716372938</v>
      </c>
      <c r="N39" s="3">
        <f t="shared" si="1"/>
        <v>59052.09625479976</v>
      </c>
      <c r="O39" s="3">
        <f t="shared" si="2"/>
        <v>462305.894197179</v>
      </c>
      <c r="P39" s="6">
        <v>474370.04</v>
      </c>
      <c r="Q39" s="6">
        <v>411868.88</v>
      </c>
      <c r="R39" s="2">
        <f t="shared" si="0"/>
        <v>-50437.014197179</v>
      </c>
      <c r="S39" s="12" t="s">
        <v>53</v>
      </c>
    </row>
    <row r="40" spans="1:19" s="13" customFormat="1" ht="51.75" customHeight="1" thickBot="1">
      <c r="A40" s="11">
        <v>28</v>
      </c>
      <c r="B40" s="49" t="s">
        <v>24</v>
      </c>
      <c r="C40" s="7">
        <v>1987</v>
      </c>
      <c r="D40" s="7">
        <v>849.5</v>
      </c>
      <c r="E40" s="7">
        <v>849.5</v>
      </c>
      <c r="F40" s="66">
        <f>F4/E56*E40</f>
        <v>51968.234318607596</v>
      </c>
      <c r="G40" s="66">
        <f>(G4/H4*E40)</f>
        <v>52058.34470262585</v>
      </c>
      <c r="H40" s="66">
        <v>5200.67</v>
      </c>
      <c r="I40" s="66">
        <f>772+892.9</f>
        <v>1664.9</v>
      </c>
      <c r="J40" s="67">
        <v>0</v>
      </c>
      <c r="K40" s="62">
        <v>2291.94</v>
      </c>
      <c r="L40" s="63">
        <v>0</v>
      </c>
      <c r="M40" s="68">
        <f>M4/E56*E40</f>
        <v>36062.826133078015</v>
      </c>
      <c r="N40" s="3">
        <f t="shared" si="1"/>
        <v>19647.0276773009</v>
      </c>
      <c r="O40" s="3">
        <f t="shared" si="2"/>
        <v>149246.91515431146</v>
      </c>
      <c r="P40" s="6">
        <v>155354.96</v>
      </c>
      <c r="Q40" s="6">
        <v>131799.97</v>
      </c>
      <c r="R40" s="2">
        <f t="shared" si="0"/>
        <v>-17446.945154311456</v>
      </c>
      <c r="S40" s="4" t="s">
        <v>94</v>
      </c>
    </row>
    <row r="41" spans="1:19" s="13" customFormat="1" ht="51.75" customHeight="1" thickBot="1">
      <c r="A41" s="11">
        <v>29</v>
      </c>
      <c r="B41" s="49" t="s">
        <v>25</v>
      </c>
      <c r="C41" s="7">
        <v>1989</v>
      </c>
      <c r="D41" s="7">
        <v>856.7</v>
      </c>
      <c r="E41" s="7">
        <v>856.7</v>
      </c>
      <c r="F41" s="66">
        <f>F4/E56*E41</f>
        <v>52408.69492731151</v>
      </c>
      <c r="G41" s="66">
        <f>(G4/H4*E41)</f>
        <v>52499.5690485457</v>
      </c>
      <c r="H41" s="66">
        <v>7616.85</v>
      </c>
      <c r="I41" s="66">
        <f>14301+1513.47</f>
        <v>15814.47</v>
      </c>
      <c r="J41" s="67">
        <v>0</v>
      </c>
      <c r="K41" s="62">
        <v>2307.44</v>
      </c>
      <c r="L41" s="63">
        <v>6480</v>
      </c>
      <c r="M41" s="68">
        <f>M4/E56*E41</f>
        <v>36368.479279821</v>
      </c>
      <c r="N41" s="3">
        <f t="shared" si="1"/>
        <v>19813.547511646477</v>
      </c>
      <c r="O41" s="3">
        <f t="shared" si="2"/>
        <v>173495.50325567822</v>
      </c>
      <c r="P41" s="6">
        <v>156728.12</v>
      </c>
      <c r="Q41" s="6">
        <v>144010.07</v>
      </c>
      <c r="R41" s="2">
        <f t="shared" si="0"/>
        <v>-29485.433255678217</v>
      </c>
      <c r="S41" s="4" t="s">
        <v>95</v>
      </c>
    </row>
    <row r="42" spans="1:19" s="13" customFormat="1" ht="51.75" customHeight="1" thickBot="1">
      <c r="A42" s="11">
        <v>30</v>
      </c>
      <c r="B42" s="49" t="s">
        <v>42</v>
      </c>
      <c r="C42" s="7">
        <v>1990</v>
      </c>
      <c r="D42" s="7">
        <v>2196.6</v>
      </c>
      <c r="E42" s="7">
        <v>1196.6</v>
      </c>
      <c r="F42" s="66">
        <f>F4/E56*E42</f>
        <v>73202.10616320877</v>
      </c>
      <c r="G42" s="66">
        <f>(G4/H4*E42)</f>
        <v>73329.03504551158</v>
      </c>
      <c r="H42" s="66">
        <v>31026.5</v>
      </c>
      <c r="I42" s="66">
        <f>6611+2568.73</f>
        <v>9179.73</v>
      </c>
      <c r="J42" s="67">
        <v>0</v>
      </c>
      <c r="K42" s="62">
        <v>0</v>
      </c>
      <c r="L42" s="63">
        <v>0</v>
      </c>
      <c r="M42" s="68">
        <f>M4/E56*E42</f>
        <v>50797.854915645854</v>
      </c>
      <c r="N42" s="3">
        <f t="shared" si="1"/>
        <v>27674.67135804386</v>
      </c>
      <c r="O42" s="3">
        <f t="shared" si="2"/>
        <v>237535.2261243662</v>
      </c>
      <c r="P42" s="6">
        <v>237645.58</v>
      </c>
      <c r="Q42" s="6">
        <v>187232.9</v>
      </c>
      <c r="R42" s="2">
        <f t="shared" si="0"/>
        <v>-50302.3261243662</v>
      </c>
      <c r="S42" s="4" t="s">
        <v>80</v>
      </c>
    </row>
    <row r="43" spans="1:19" s="13" customFormat="1" ht="51.75" customHeight="1" thickBot="1">
      <c r="A43" s="11">
        <v>31</v>
      </c>
      <c r="B43" s="49" t="s">
        <v>43</v>
      </c>
      <c r="C43" s="7">
        <v>1990</v>
      </c>
      <c r="D43" s="14">
        <v>619</v>
      </c>
      <c r="E43" s="14">
        <v>619</v>
      </c>
      <c r="F43" s="66">
        <f>F4/E56*E43</f>
        <v>37867.37733162814</v>
      </c>
      <c r="G43" s="66">
        <f>(G4/H4*E43)</f>
        <v>37933.03751727534</v>
      </c>
      <c r="H43" s="66">
        <v>6558.72</v>
      </c>
      <c r="I43" s="66">
        <f>731+650.62</f>
        <v>1381.62</v>
      </c>
      <c r="J43" s="67">
        <v>0</v>
      </c>
      <c r="K43" s="62">
        <v>0</v>
      </c>
      <c r="L43" s="63">
        <v>0</v>
      </c>
      <c r="M43" s="68">
        <f>M4/E56*E43</f>
        <v>26277.680254708994</v>
      </c>
      <c r="N43" s="3">
        <f t="shared" si="1"/>
        <v>14316.080202765459</v>
      </c>
      <c r="O43" s="3">
        <f t="shared" si="2"/>
        <v>110018.43510361247</v>
      </c>
      <c r="P43" s="6">
        <v>113467.68</v>
      </c>
      <c r="Q43" s="6">
        <v>85051.55</v>
      </c>
      <c r="R43" s="2">
        <f t="shared" si="0"/>
        <v>-24966.88510361247</v>
      </c>
      <c r="S43" s="4" t="s">
        <v>96</v>
      </c>
    </row>
    <row r="44" spans="1:19" s="13" customFormat="1" ht="51.75" customHeight="1" thickBot="1">
      <c r="A44" s="11">
        <v>32</v>
      </c>
      <c r="B44" s="49" t="s">
        <v>38</v>
      </c>
      <c r="C44" s="7">
        <v>1988</v>
      </c>
      <c r="D44" s="7">
        <v>373.2</v>
      </c>
      <c r="E44" s="7">
        <v>373.2</v>
      </c>
      <c r="F44" s="66">
        <f>F4/E56*E44</f>
        <v>22830.54155115286</v>
      </c>
      <c r="G44" s="66">
        <f>(G4/H4*E44)</f>
        <v>22870.128596845167</v>
      </c>
      <c r="H44" s="66">
        <v>3528.79</v>
      </c>
      <c r="I44" s="66">
        <f>392.27</f>
        <v>392.27</v>
      </c>
      <c r="J44" s="67">
        <v>0</v>
      </c>
      <c r="K44" s="62">
        <v>1263.16</v>
      </c>
      <c r="L44" s="63">
        <v>2880</v>
      </c>
      <c r="M44" s="68">
        <f>M4/E56*E44</f>
        <v>15843.021439511142</v>
      </c>
      <c r="N44" s="3">
        <f t="shared" si="1"/>
        <v>8631.27808024567</v>
      </c>
      <c r="O44" s="3">
        <f t="shared" si="2"/>
        <v>69607.91158750917</v>
      </c>
      <c r="P44" s="6">
        <v>62447.74</v>
      </c>
      <c r="Q44" s="6">
        <v>50871.94</v>
      </c>
      <c r="R44" s="2">
        <f t="shared" si="0"/>
        <v>-18735.971587509164</v>
      </c>
      <c r="S44" s="12" t="s">
        <v>76</v>
      </c>
    </row>
    <row r="45" spans="1:19" s="13" customFormat="1" ht="51.75" customHeight="1" thickBot="1">
      <c r="A45" s="11">
        <v>33</v>
      </c>
      <c r="B45" s="49" t="s">
        <v>26</v>
      </c>
      <c r="C45" s="7">
        <v>1964</v>
      </c>
      <c r="D45" s="7">
        <v>376.6</v>
      </c>
      <c r="E45" s="7">
        <v>376.6</v>
      </c>
      <c r="F45" s="66">
        <f>F4/E56*E45</f>
        <v>23038.536838596377</v>
      </c>
      <c r="G45" s="66">
        <v>0</v>
      </c>
      <c r="H45" s="66">
        <v>4947.94</v>
      </c>
      <c r="I45" s="66">
        <v>0</v>
      </c>
      <c r="J45" s="67">
        <v>0</v>
      </c>
      <c r="K45" s="62">
        <v>1263.16</v>
      </c>
      <c r="L45" s="63">
        <v>0</v>
      </c>
      <c r="M45" s="68">
        <f>M4/E56*E45</f>
        <v>15987.357647695328</v>
      </c>
      <c r="N45" s="3">
        <f t="shared" si="1"/>
        <v>8709.912446464414</v>
      </c>
      <c r="O45" s="3">
        <f t="shared" si="2"/>
        <v>45236.994486291704</v>
      </c>
      <c r="P45" s="6">
        <v>44147</v>
      </c>
      <c r="Q45" s="6">
        <v>32987.49</v>
      </c>
      <c r="R45" s="2">
        <f t="shared" si="0"/>
        <v>-12249.504486291706</v>
      </c>
      <c r="S45" s="12"/>
    </row>
    <row r="46" spans="1:19" s="13" customFormat="1" ht="51.75" customHeight="1" thickBot="1">
      <c r="A46" s="11">
        <v>34</v>
      </c>
      <c r="B46" s="49" t="s">
        <v>27</v>
      </c>
      <c r="C46" s="7">
        <v>1954</v>
      </c>
      <c r="D46" s="7">
        <v>400.3</v>
      </c>
      <c r="E46" s="7">
        <v>400.3</v>
      </c>
      <c r="F46" s="66">
        <f>F4/E56*E46</f>
        <v>24488.38634224676</v>
      </c>
      <c r="G46" s="66">
        <v>0</v>
      </c>
      <c r="H46" s="66">
        <v>2024.47</v>
      </c>
      <c r="I46" s="66">
        <v>0</v>
      </c>
      <c r="J46" s="67">
        <v>0</v>
      </c>
      <c r="K46" s="62">
        <v>2832.45</v>
      </c>
      <c r="L46" s="63">
        <v>0</v>
      </c>
      <c r="M46" s="68">
        <f>M4/E56*E46</f>
        <v>16993.465922390973</v>
      </c>
      <c r="N46" s="3">
        <f t="shared" si="1"/>
        <v>9258.040234518601</v>
      </c>
      <c r="O46" s="3">
        <f t="shared" si="2"/>
        <v>46338.77226463774</v>
      </c>
      <c r="P46" s="6">
        <v>45407.66</v>
      </c>
      <c r="Q46" s="6">
        <v>37864.92</v>
      </c>
      <c r="R46" s="2">
        <f t="shared" si="0"/>
        <v>-8473.852264637739</v>
      </c>
      <c r="S46" s="12"/>
    </row>
    <row r="47" spans="1:19" s="13" customFormat="1" ht="51.75" customHeight="1" thickBot="1">
      <c r="A47" s="11">
        <v>35</v>
      </c>
      <c r="B47" s="49" t="s">
        <v>29</v>
      </c>
      <c r="C47" s="7">
        <v>1970</v>
      </c>
      <c r="D47" s="7">
        <v>708.6</v>
      </c>
      <c r="E47" s="7">
        <v>708.6</v>
      </c>
      <c r="F47" s="66">
        <f>F4/E56*E47</f>
        <v>43348.664906610175</v>
      </c>
      <c r="G47" s="66">
        <v>0</v>
      </c>
      <c r="H47" s="66">
        <v>6835.14</v>
      </c>
      <c r="I47" s="66">
        <v>0</v>
      </c>
      <c r="J47" s="67">
        <v>0</v>
      </c>
      <c r="K47" s="62">
        <v>2577.99</v>
      </c>
      <c r="L47" s="63">
        <v>0</v>
      </c>
      <c r="M47" s="68">
        <f>M4/E56*E47</f>
        <v>30081.36385862164</v>
      </c>
      <c r="N47" s="3">
        <f t="shared" si="1"/>
        <v>16388.327030177068</v>
      </c>
      <c r="O47" s="3">
        <f t="shared" si="2"/>
        <v>82843.15876523181</v>
      </c>
      <c r="P47" s="6">
        <v>98491.84</v>
      </c>
      <c r="Q47" s="6">
        <v>92286.51</v>
      </c>
      <c r="R47" s="2">
        <f t="shared" si="0"/>
        <v>9443.351234768183</v>
      </c>
      <c r="S47" s="12" t="s">
        <v>69</v>
      </c>
    </row>
    <row r="48" spans="1:19" s="13" customFormat="1" ht="51.75" customHeight="1" thickBot="1">
      <c r="A48" s="11">
        <v>36</v>
      </c>
      <c r="B48" s="49" t="s">
        <v>30</v>
      </c>
      <c r="C48" s="7">
        <v>1983</v>
      </c>
      <c r="D48" s="7">
        <v>383.1</v>
      </c>
      <c r="E48" s="7">
        <v>383.1</v>
      </c>
      <c r="F48" s="66">
        <f>F4/E56*E48</f>
        <v>23436.174888120742</v>
      </c>
      <c r="G48" s="66">
        <f>(G4/H4*E48)</f>
        <v>23476.81207248495</v>
      </c>
      <c r="H48" s="66">
        <v>1085.61</v>
      </c>
      <c r="I48" s="66">
        <f>6171+923.67</f>
        <v>7094.67</v>
      </c>
      <c r="J48" s="67">
        <v>0</v>
      </c>
      <c r="K48" s="62">
        <v>1066.85</v>
      </c>
      <c r="L48" s="63">
        <v>0</v>
      </c>
      <c r="M48" s="68">
        <f>M4/E56*E48</f>
        <v>16263.294516282742</v>
      </c>
      <c r="N48" s="3">
        <f t="shared" si="1"/>
        <v>8860.242852470838</v>
      </c>
      <c r="O48" s="3">
        <f t="shared" si="2"/>
        <v>72423.41147688843</v>
      </c>
      <c r="P48" s="6">
        <v>70323.64</v>
      </c>
      <c r="Q48" s="6">
        <v>59767.2</v>
      </c>
      <c r="R48" s="2">
        <f t="shared" si="0"/>
        <v>-12656.211476888435</v>
      </c>
      <c r="S48" s="12" t="s">
        <v>70</v>
      </c>
    </row>
    <row r="49" spans="1:19" s="13" customFormat="1" ht="50.25" customHeight="1" thickBot="1">
      <c r="A49" s="11">
        <v>37</v>
      </c>
      <c r="B49" s="49" t="s">
        <v>31</v>
      </c>
      <c r="C49" s="7">
        <v>1987</v>
      </c>
      <c r="D49" s="7">
        <v>4309.4</v>
      </c>
      <c r="E49" s="7">
        <v>4309.4</v>
      </c>
      <c r="F49" s="66">
        <f>F4/E56*E49</f>
        <v>263627.9093262008</v>
      </c>
      <c r="G49" s="66">
        <f>(G4/H4*E49)</f>
        <v>264085.0272648568</v>
      </c>
      <c r="H49" s="66">
        <v>37650.54</v>
      </c>
      <c r="I49" s="66">
        <f>13485.2+6561.05</f>
        <v>20046.25</v>
      </c>
      <c r="J49" s="67">
        <v>5734.97</v>
      </c>
      <c r="K49" s="62">
        <v>10151.96</v>
      </c>
      <c r="L49" s="63">
        <v>0</v>
      </c>
      <c r="M49" s="68">
        <f>M4/E56*E49</f>
        <v>182941.89869086095</v>
      </c>
      <c r="N49" s="3">
        <f t="shared" si="1"/>
        <v>99666.74640678104</v>
      </c>
      <c r="O49" s="3">
        <f t="shared" si="2"/>
        <v>784238.5552819185</v>
      </c>
      <c r="P49" s="6">
        <v>800056.98</v>
      </c>
      <c r="Q49" s="6">
        <v>756988.36</v>
      </c>
      <c r="R49" s="2">
        <f t="shared" si="0"/>
        <v>-27250.19528191851</v>
      </c>
      <c r="S49" s="4" t="s">
        <v>81</v>
      </c>
    </row>
    <row r="50" spans="1:19" s="13" customFormat="1" ht="50.25" customHeight="1" thickBot="1">
      <c r="A50" s="11">
        <v>38</v>
      </c>
      <c r="B50" s="49" t="s">
        <v>32</v>
      </c>
      <c r="C50" s="7">
        <v>1986</v>
      </c>
      <c r="D50" s="7">
        <v>841.6</v>
      </c>
      <c r="E50" s="7">
        <v>841.6</v>
      </c>
      <c r="F50" s="66">
        <f>F4/E56*E50</f>
        <v>51484.95115072413</v>
      </c>
      <c r="G50" s="66">
        <f>(G4/H4*E50)</f>
        <v>51574.223545297136</v>
      </c>
      <c r="H50" s="66">
        <v>3209.42</v>
      </c>
      <c r="I50" s="66">
        <f>31079.51+2698.59</f>
        <v>33778.1</v>
      </c>
      <c r="J50" s="67">
        <v>12646.57</v>
      </c>
      <c r="K50" s="62">
        <v>2291.94</v>
      </c>
      <c r="L50" s="63">
        <v>0</v>
      </c>
      <c r="M50" s="68">
        <f>M4/E56*E50</f>
        <v>35727.45670817947</v>
      </c>
      <c r="N50" s="3">
        <f t="shared" si="1"/>
        <v>19464.318414616173</v>
      </c>
      <c r="O50" s="3">
        <f t="shared" si="2"/>
        <v>190712.66140420074</v>
      </c>
      <c r="P50" s="6">
        <v>154669.44</v>
      </c>
      <c r="Q50" s="6">
        <v>145470.66</v>
      </c>
      <c r="R50" s="2">
        <f t="shared" si="0"/>
        <v>-45242.00140420074</v>
      </c>
      <c r="S50" s="4" t="s">
        <v>82</v>
      </c>
    </row>
    <row r="51" spans="1:20" s="13" customFormat="1" ht="50.25" customHeight="1" thickBot="1">
      <c r="A51" s="11">
        <v>39</v>
      </c>
      <c r="B51" s="49" t="s">
        <v>33</v>
      </c>
      <c r="C51" s="7">
        <v>1987</v>
      </c>
      <c r="D51" s="7">
        <v>872.5</v>
      </c>
      <c r="E51" s="7">
        <v>871.2</v>
      </c>
      <c r="F51" s="66">
        <f>F4/E56*E51</f>
        <v>53295.733653173564</v>
      </c>
      <c r="G51" s="66">
        <f>(G4/H4*E51)</f>
        <v>53388.14585630094</v>
      </c>
      <c r="H51" s="66">
        <v>4776.13</v>
      </c>
      <c r="I51" s="66">
        <f>917.07</f>
        <v>917.07</v>
      </c>
      <c r="J51" s="67">
        <v>0</v>
      </c>
      <c r="K51" s="62">
        <v>2291.94</v>
      </c>
      <c r="L51" s="63">
        <v>0</v>
      </c>
      <c r="M51" s="68">
        <f>M4/E56*E51</f>
        <v>36984.03075590061</v>
      </c>
      <c r="N51" s="3">
        <f t="shared" si="1"/>
        <v>20148.89995581465</v>
      </c>
      <c r="O51" s="3">
        <f t="shared" si="2"/>
        <v>151653.05026537512</v>
      </c>
      <c r="P51" s="6">
        <v>160122.1</v>
      </c>
      <c r="Q51" s="6">
        <v>148891.84</v>
      </c>
      <c r="R51" s="2">
        <f t="shared" si="0"/>
        <v>-2761.210265375121</v>
      </c>
      <c r="S51" s="4" t="s">
        <v>87</v>
      </c>
      <c r="T51" s="13" t="s">
        <v>84</v>
      </c>
    </row>
    <row r="52" spans="1:19" s="13" customFormat="1" ht="50.25" customHeight="1" thickBot="1">
      <c r="A52" s="11">
        <v>40</v>
      </c>
      <c r="B52" s="49" t="s">
        <v>34</v>
      </c>
      <c r="C52" s="7">
        <v>1983</v>
      </c>
      <c r="D52" s="7">
        <v>826.2</v>
      </c>
      <c r="E52" s="7">
        <v>826.2</v>
      </c>
      <c r="F52" s="66">
        <f>F4/E56*E52</f>
        <v>50542.8548487741</v>
      </c>
      <c r="G52" s="66">
        <f>(G4/H4*E52)</f>
        <v>50630.49369430192</v>
      </c>
      <c r="H52" s="66">
        <v>7553.58</v>
      </c>
      <c r="I52" s="66">
        <f>2911+868.41</f>
        <v>3779.41</v>
      </c>
      <c r="J52" s="67">
        <v>0</v>
      </c>
      <c r="K52" s="62">
        <v>2291.94</v>
      </c>
      <c r="L52" s="63">
        <v>0</v>
      </c>
      <c r="M52" s="68">
        <f>M4/E56*E52</f>
        <v>35073.69858875698</v>
      </c>
      <c r="N52" s="3">
        <f t="shared" si="1"/>
        <v>19108.150991154802</v>
      </c>
      <c r="O52" s="3">
        <f t="shared" si="2"/>
        <v>149871.977131833</v>
      </c>
      <c r="P52" s="6">
        <v>152297.06</v>
      </c>
      <c r="Q52" s="6">
        <v>139768.69</v>
      </c>
      <c r="R52" s="2">
        <f t="shared" si="0"/>
        <v>-10103.287131833</v>
      </c>
      <c r="S52" s="4" t="s">
        <v>99</v>
      </c>
    </row>
    <row r="53" spans="1:19" s="13" customFormat="1" ht="50.25" customHeight="1" thickBot="1">
      <c r="A53" s="11">
        <v>41</v>
      </c>
      <c r="B53" s="49" t="s">
        <v>35</v>
      </c>
      <c r="C53" s="7">
        <v>1987</v>
      </c>
      <c r="D53" s="7">
        <v>4280.1</v>
      </c>
      <c r="E53" s="7">
        <v>4290.6</v>
      </c>
      <c r="F53" s="66">
        <f>F4/E56*E53</f>
        <v>262477.8177368073</v>
      </c>
      <c r="G53" s="66">
        <f>(G4/H4*E53)</f>
        <v>262932.9414727328</v>
      </c>
      <c r="H53" s="66">
        <v>27511.33</v>
      </c>
      <c r="I53" s="66">
        <f>15530.58+8039.29</f>
        <v>23569.87</v>
      </c>
      <c r="J53" s="67">
        <v>0</v>
      </c>
      <c r="K53" s="62">
        <v>10151.97</v>
      </c>
      <c r="L53" s="63">
        <v>0</v>
      </c>
      <c r="M53" s="68">
        <f>M4/E56*E53</f>
        <v>182143.8043632543</v>
      </c>
      <c r="N53" s="3">
        <f t="shared" si="1"/>
        <v>99231.94461710093</v>
      </c>
      <c r="O53" s="3">
        <f t="shared" si="2"/>
        <v>768787.7335727944</v>
      </c>
      <c r="P53" s="6">
        <v>792353.42</v>
      </c>
      <c r="Q53" s="6">
        <v>709469.22</v>
      </c>
      <c r="R53" s="2">
        <f t="shared" si="0"/>
        <v>-59318.513572794385</v>
      </c>
      <c r="S53" s="4" t="s">
        <v>83</v>
      </c>
    </row>
    <row r="54" spans="1:19" s="13" customFormat="1" ht="50.25" customHeight="1" thickBot="1">
      <c r="A54" s="11">
        <v>42</v>
      </c>
      <c r="B54" s="49" t="s">
        <v>36</v>
      </c>
      <c r="C54" s="16">
        <v>1985</v>
      </c>
      <c r="D54" s="16">
        <v>4234.9</v>
      </c>
      <c r="E54" s="16">
        <v>4234.9</v>
      </c>
      <c r="F54" s="6">
        <f>F4/E56*E54</f>
        <v>259070.3655278061</v>
      </c>
      <c r="G54" s="6">
        <f>(G4/H4*E54)</f>
        <v>259519.58090776953</v>
      </c>
      <c r="H54" s="6">
        <v>29891.93</v>
      </c>
      <c r="I54" s="6">
        <f>45173.31+4949.25</f>
        <v>50122.56</v>
      </c>
      <c r="J54" s="67">
        <v>9733.74</v>
      </c>
      <c r="K54" s="62">
        <v>10151.96</v>
      </c>
      <c r="L54" s="63">
        <v>0</v>
      </c>
      <c r="M54" s="68">
        <f>M4/E56*E54</f>
        <v>179779.23765858985</v>
      </c>
      <c r="N54" s="6">
        <f t="shared" si="1"/>
        <v>97943.72867639974</v>
      </c>
      <c r="O54" s="6">
        <f t="shared" si="2"/>
        <v>798269.3740941654</v>
      </c>
      <c r="P54" s="6">
        <v>782064.08</v>
      </c>
      <c r="Q54" s="6">
        <v>705371.19</v>
      </c>
      <c r="R54" s="2">
        <f t="shared" si="0"/>
        <v>-92898.18409416545</v>
      </c>
      <c r="S54" s="12" t="s">
        <v>71</v>
      </c>
    </row>
    <row r="55" spans="1:19" s="13" customFormat="1" ht="50.25" customHeight="1" thickBot="1">
      <c r="A55" s="11">
        <v>43</v>
      </c>
      <c r="B55" s="49" t="s">
        <v>37</v>
      </c>
      <c r="C55" s="7">
        <v>1986</v>
      </c>
      <c r="D55" s="7">
        <v>843.8</v>
      </c>
      <c r="E55" s="7">
        <v>843.8</v>
      </c>
      <c r="F55" s="66">
        <f>F4/E56*E55</f>
        <v>51619.53633671699</v>
      </c>
      <c r="G55" s="66">
        <f>(G4/H4*E55)</f>
        <v>51709.04209543931</v>
      </c>
      <c r="H55" s="66">
        <v>8147.76</v>
      </c>
      <c r="I55" s="66">
        <f>8320+2602.91</f>
        <v>10922.91</v>
      </c>
      <c r="J55" s="67">
        <v>0</v>
      </c>
      <c r="K55" s="62">
        <v>2291.95</v>
      </c>
      <c r="L55" s="63">
        <v>0</v>
      </c>
      <c r="M55" s="68">
        <f>M4/E56*E55</f>
        <v>35820.85072523982</v>
      </c>
      <c r="N55" s="3">
        <f t="shared" si="1"/>
        <v>19515.19947511065</v>
      </c>
      <c r="O55" s="3">
        <f t="shared" si="2"/>
        <v>160512.0491573961</v>
      </c>
      <c r="P55" s="6">
        <v>155037.14</v>
      </c>
      <c r="Q55" s="6">
        <v>139325.51</v>
      </c>
      <c r="R55" s="2">
        <f t="shared" si="0"/>
        <v>-21186.539157396095</v>
      </c>
      <c r="S55" s="12" t="s">
        <v>72</v>
      </c>
    </row>
    <row r="56" spans="1:19" s="1" customFormat="1" ht="50.25" customHeight="1" thickBot="1">
      <c r="A56" s="20"/>
      <c r="B56" s="49" t="s">
        <v>65</v>
      </c>
      <c r="C56" s="21"/>
      <c r="D56" s="22">
        <f>SUM(D13:D55)</f>
        <v>65606.90000000001</v>
      </c>
      <c r="E56" s="22">
        <f aca="true" t="shared" si="3" ref="E56:L56">SUM(E13:E55)</f>
        <v>64616.100000000006</v>
      </c>
      <c r="F56" s="2">
        <f>SUM(F13:F55)</f>
        <v>3952895.380287911</v>
      </c>
      <c r="G56" s="2">
        <f t="shared" si="3"/>
        <v>3857630.584493098</v>
      </c>
      <c r="H56" s="2">
        <f>SUM(H13:H55)</f>
        <v>440422.17999999993</v>
      </c>
      <c r="I56" s="2">
        <f t="shared" si="3"/>
        <v>364452.82999999996</v>
      </c>
      <c r="J56" s="69">
        <f t="shared" si="3"/>
        <v>60690.579999999994</v>
      </c>
      <c r="K56" s="69">
        <f t="shared" si="3"/>
        <v>161745.29000000004</v>
      </c>
      <c r="L56" s="69">
        <f t="shared" si="3"/>
        <v>81120</v>
      </c>
      <c r="M56" s="2">
        <f aca="true" t="shared" si="4" ref="M56:R56">SUM(M13:M55)</f>
        <v>2743071.4298970946</v>
      </c>
      <c r="N56" s="2">
        <f t="shared" si="4"/>
        <v>1494425.3150079378</v>
      </c>
      <c r="O56" s="2">
        <f t="shared" si="4"/>
        <v>11662028.2746781</v>
      </c>
      <c r="P56" s="2">
        <f t="shared" si="4"/>
        <v>11827523.46</v>
      </c>
      <c r="Q56" s="2">
        <f t="shared" si="4"/>
        <v>10367706.94</v>
      </c>
      <c r="R56" s="2">
        <f t="shared" si="4"/>
        <v>-1294321.3346781037</v>
      </c>
      <c r="S56" s="12"/>
    </row>
    <row r="57" spans="1:19" ht="50.25" customHeight="1">
      <c r="A57" s="89" t="s">
        <v>64</v>
      </c>
      <c r="B57" s="89"/>
      <c r="C57" s="89"/>
      <c r="D57" s="89"/>
      <c r="E57" s="89"/>
      <c r="F57" s="89"/>
      <c r="G57" s="89"/>
      <c r="H57" s="89"/>
      <c r="I57" s="89"/>
      <c r="J57" s="90"/>
      <c r="K57" s="89"/>
      <c r="L57" s="89"/>
      <c r="M57" s="89"/>
      <c r="N57" s="89"/>
      <c r="O57" s="89"/>
      <c r="P57" s="89"/>
      <c r="Q57" s="89"/>
      <c r="R57" s="89"/>
      <c r="S57" s="89"/>
    </row>
    <row r="58" spans="1:5" ht="34.5" customHeight="1">
      <c r="A58" s="28" t="s">
        <v>109</v>
      </c>
      <c r="B58" s="29"/>
      <c r="C58" s="30"/>
      <c r="D58" s="30"/>
      <c r="E58" s="31"/>
    </row>
    <row r="59" spans="1:5" ht="34.5" customHeight="1">
      <c r="A59" s="28" t="s">
        <v>73</v>
      </c>
      <c r="B59" s="29"/>
      <c r="C59" s="30"/>
      <c r="D59" s="30"/>
      <c r="E59" s="31"/>
    </row>
    <row r="60" spans="1:5" ht="51.75" customHeight="1">
      <c r="A60" s="28" t="s">
        <v>108</v>
      </c>
      <c r="B60" s="29"/>
      <c r="C60" s="30"/>
      <c r="D60" s="30"/>
      <c r="E60" s="31"/>
    </row>
    <row r="61" spans="1:5" ht="51.75" customHeight="1">
      <c r="A61" s="32"/>
      <c r="B61" s="29"/>
      <c r="C61" s="30"/>
      <c r="D61" s="30"/>
      <c r="E61" s="31"/>
    </row>
    <row r="62" spans="1:5" ht="51.75" customHeight="1">
      <c r="A62" s="33"/>
      <c r="B62" s="34"/>
      <c r="C62" s="35"/>
      <c r="D62" s="35"/>
      <c r="E62" s="36"/>
    </row>
    <row r="63" spans="2:5" ht="51.75" customHeight="1">
      <c r="B63" s="37"/>
      <c r="C63" s="37"/>
      <c r="D63" s="37"/>
      <c r="E63" s="37"/>
    </row>
    <row r="64" spans="2:5" ht="51.75" customHeight="1">
      <c r="B64" s="37"/>
      <c r="C64" s="37"/>
      <c r="D64" s="37"/>
      <c r="E64" s="37"/>
    </row>
  </sheetData>
  <sheetProtection/>
  <mergeCells count="22">
    <mergeCell ref="A57:S57"/>
    <mergeCell ref="C10:C11"/>
    <mergeCell ref="E10:E11"/>
    <mergeCell ref="P10:P11"/>
    <mergeCell ref="Q10:Q11"/>
    <mergeCell ref="K10:K11"/>
    <mergeCell ref="G10:G11"/>
    <mergeCell ref="L10:L11"/>
    <mergeCell ref="I10:I11"/>
    <mergeCell ref="F10:F11"/>
    <mergeCell ref="B10:B11"/>
    <mergeCell ref="O10:O11"/>
    <mergeCell ref="S8:S11"/>
    <mergeCell ref="A8:R8"/>
    <mergeCell ref="A9:E9"/>
    <mergeCell ref="D10:D11"/>
    <mergeCell ref="A10:A11"/>
    <mergeCell ref="R10:R11"/>
    <mergeCell ref="J10:J11"/>
    <mergeCell ref="M10:N10"/>
    <mergeCell ref="H10:H11"/>
    <mergeCell ref="F9:R9"/>
  </mergeCells>
  <printOptions/>
  <pageMargins left="0.1968503937007874" right="0" top="0.15748031496062992" bottom="0.1968503937007874" header="0" footer="0"/>
  <pageSetup horizontalDpi="600" verticalDpi="600" orientation="portrait" paperSize="9" scale="75" r:id="rId1"/>
  <rowBreaks count="1" manualBreakCount="1">
    <brk id="56" max="16" man="1"/>
  </rowBreaks>
  <colBreaks count="1" manualBreakCount="1">
    <brk id="1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Buch</cp:lastModifiedBy>
  <cp:lastPrinted>2021-03-29T11:42:24Z</cp:lastPrinted>
  <dcterms:created xsi:type="dcterms:W3CDTF">2011-01-17T06:18:12Z</dcterms:created>
  <dcterms:modified xsi:type="dcterms:W3CDTF">2022-03-14T08:58:46Z</dcterms:modified>
  <cp:category/>
  <cp:version/>
  <cp:contentType/>
  <cp:contentStatus/>
</cp:coreProperties>
</file>