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'Sheet1'!$A$1:$S$60</definedName>
  </definedNames>
  <calcPr fullCalcOnLoad="1"/>
</workbook>
</file>

<file path=xl/sharedStrings.xml><?xml version="1.0" encoding="utf-8"?>
<sst xmlns="http://schemas.openxmlformats.org/spreadsheetml/2006/main" count="123" uniqueCount="123">
  <si>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</si>
  <si>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</si>
  <si>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</si>
  <si>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</si>
  <si>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</si>
  <si>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</si>
  <si>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</si>
  <si>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</si>
  <si>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</si>
  <si>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</si>
  <si>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</si>
  <si>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</si>
  <si>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</si>
  <si>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</si>
  <si>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</si>
  <si>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</si>
  <si>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</si>
  <si>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</si>
  <si>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</si>
  <si>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</si>
  <si>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</si>
  <si>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</si>
  <si>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</si>
  <si>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</si>
  <si>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</si>
  <si>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</si>
  <si>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</si>
  <si>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</si>
  <si>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</si>
  <si>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</si>
  <si>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</si>
  <si>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</si>
  <si>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</si>
  <si>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</si>
  <si>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</si>
  <si>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</si>
  <si>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</si>
  <si>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</si>
  <si>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</si>
  <si>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</si>
  <si>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</si>
  <si>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</si>
  <si>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</si>
  <si>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</si>
  <si>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</si>
  <si>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</si>
  <si>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</si>
  <si>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</si>
  <si>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</si>
  <si>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</si>
  <si>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</si>
  <si>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</si>
  <si>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</si>
  <si>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</si>
  <si>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</si>
  <si>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</si>
  <si>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</si>
  <si>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</si>
  <si>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</si>
  <si>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</si>
  <si>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</si>
  <si>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</si>
  <si>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</si>
  <si>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</si>
  <si>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</si>
  <si>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</si>
  <si>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</si>
  <si>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</si>
  <si>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</si>
  <si>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</si>
  <si>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</si>
  <si>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</si>
  <si>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</si>
  <si>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</si>
  <si>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</si>
  <si>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</si>
  <si>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</si>
  <si>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</si>
  <si>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</si>
  <si>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</si>
  <si>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</si>
  <si>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</si>
  <si>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</si>
  <si>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</si>
  <si>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 xml:space="preserve"> 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</si>
  <si>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</si>
  <si>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</si>
  <si>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</si>
  <si>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</si>
  <si>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</si>
  <si>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</si>
  <si>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</si>
  <si>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</si>
  <si>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</si>
  <si>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</si>
  <si>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</si>
  <si>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</si>
  <si>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</si>
  <si>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</si>
  <si>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</si>
  <si>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</si>
  <si>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</si>
  <si>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</si>
  <si>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</si>
  <si>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</si>
  <si>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 п дворников</t>
  </si>
  <si>
    <t>площадь санит обслуж м2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</si>
  <si>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</si>
  <si>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</si>
  <si>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</si>
  <si>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</si>
  <si>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</si>
  <si>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</si>
  <si>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</si>
  <si>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 xml:space="preserve">ОДН Березкинское 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</si>
  <si>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</si>
  <si>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</si>
  <si>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</si>
  <si>
    <t>Диагностика ВДГО</t>
  </si>
  <si>
    <t>Техническое обслуживание фасадных и внутренних газопроводов</t>
  </si>
  <si>
    <r>
      <t>Площадь, м</t>
    </r>
    <r>
      <rPr>
        <vertAlign val="superscript"/>
        <sz val="11"/>
        <rFont val="Times New Roman"/>
        <family val="1"/>
      </rPr>
      <t>2   по тех паспорту.</t>
    </r>
  </si>
  <si>
    <t>ОТЧЕТ ПО МНОГОКВАРТИРНЫМ ДОМАМ ЗА 2023 Г.</t>
  </si>
  <si>
    <t>зп сантехники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</si>
</sst>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_ ;\-#,##0.00\ 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2" fontId="53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vertical="top" wrapText="1"/>
      <protection/>
    </xf>
    <xf numFmtId="0" fontId="5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172" fontId="1" fillId="0" borderId="21" xfId="0" applyNumberFormat="1" applyFont="1" applyFill="1" applyBorder="1" applyAlignment="1" applyProtection="1">
      <alignment horizontal="center" vertical="top"/>
      <protection/>
    </xf>
    <xf numFmtId="2" fontId="1" fillId="0" borderId="21" xfId="0" applyNumberFormat="1" applyFont="1" applyFill="1" applyBorder="1" applyAlignment="1" applyProtection="1">
      <alignment horizontal="center" vertical="top"/>
      <protection/>
    </xf>
    <xf numFmtId="2" fontId="1" fillId="0" borderId="22" xfId="0" applyNumberFormat="1" applyFont="1" applyFill="1" applyBorder="1" applyAlignment="1" applyProtection="1">
      <alignment horizontal="center" vertical="top" wrapText="1"/>
      <protection/>
    </xf>
    <xf numFmtId="2" fontId="1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2" fontId="1" fillId="0" borderId="23" xfId="0" applyNumberFormat="1" applyFont="1" applyFill="1" applyBorder="1" applyAlignment="1" applyProtection="1">
      <alignment horizontal="center" vertical="top"/>
      <protection/>
    </xf>
    <xf numFmtId="2" fontId="1" fillId="0" borderId="22" xfId="0" applyNumberFormat="1" applyFont="1" applyFill="1" applyBorder="1" applyAlignment="1" applyProtection="1">
      <alignment horizontal="center" vertical="top"/>
      <protection/>
    </xf>
    <xf numFmtId="2" fontId="5" fillId="0" borderId="21" xfId="0" applyNumberFormat="1" applyFont="1" applyFill="1" applyBorder="1" applyAlignment="1" applyProtection="1">
      <alignment horizontal="center" vertical="top"/>
      <protection/>
    </xf>
    <xf numFmtId="2" fontId="6" fillId="0" borderId="22" xfId="0" applyNumberFormat="1" applyFont="1" applyFill="1" applyBorder="1" applyAlignment="1" applyProtection="1">
      <alignment horizontal="center" vertical="top"/>
      <protection/>
    </xf>
    <xf numFmtId="172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2" fontId="1" fillId="0" borderId="24" xfId="0" applyNumberFormat="1" applyFont="1" applyFill="1" applyBorder="1" applyAlignment="1" applyProtection="1">
      <alignment horizontal="center" vertical="top"/>
      <protection/>
    </xf>
    <xf numFmtId="2" fontId="1" fillId="0" borderId="24" xfId="0" applyNumberFormat="1" applyFont="1" applyFill="1" applyBorder="1" applyAlignment="1" applyProtection="1">
      <alignment horizontal="center" vertical="top" wrapText="1"/>
      <protection/>
    </xf>
    <xf numFmtId="2" fontId="1" fillId="0" borderId="27" xfId="0" applyNumberFormat="1" applyFont="1" applyFill="1" applyBorder="1" applyAlignment="1" applyProtection="1">
      <alignment horizontal="center" vertical="top"/>
      <protection/>
    </xf>
    <xf numFmtId="2" fontId="1" fillId="0" borderId="24" xfId="0" applyNumberFormat="1" applyFont="1" applyFill="1" applyBorder="1" applyAlignment="1" applyProtection="1">
      <alignment horizontal="center" vertical="top"/>
      <protection/>
    </xf>
    <xf numFmtId="2" fontId="5" fillId="0" borderId="24" xfId="0" applyNumberFormat="1" applyFont="1" applyFill="1" applyBorder="1" applyAlignment="1" applyProtection="1">
      <alignment horizontal="center" vertical="top"/>
      <protection/>
    </xf>
    <xf numFmtId="2" fontId="6" fillId="0" borderId="24" xfId="0" applyNumberFormat="1" applyFont="1" applyFill="1" applyBorder="1" applyAlignment="1" applyProtection="1">
      <alignment horizontal="center" vertical="top"/>
      <protection/>
    </xf>
    <xf numFmtId="172" fontId="0" fillId="0" borderId="28" xfId="0" applyNumberFormat="1" applyFont="1" applyFill="1" applyBorder="1" applyAlignment="1" applyProtection="1">
      <alignment horizontal="left" vertical="center" wrapText="1"/>
      <protection/>
    </xf>
    <xf numFmtId="172" fontId="0" fillId="0" borderId="28" xfId="0" applyNumberFormat="1" applyFill="1" applyBorder="1" applyAlignment="1" applyProtection="1">
      <alignment horizontal="left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top"/>
      <protection/>
    </xf>
    <xf numFmtId="172" fontId="1" fillId="0" borderId="2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172" fontId="6" fillId="0" borderId="24" xfId="0" applyNumberFormat="1" applyFont="1" applyFill="1" applyBorder="1" applyAlignment="1" applyProtection="1">
      <alignment horizontal="center" vertical="top"/>
      <protection/>
    </xf>
    <xf numFmtId="2" fontId="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2" fontId="5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NumberFormat="1" applyFont="1" applyFill="1" applyBorder="1" applyAlignment="1" applyProtection="1">
      <alignment horizontal="center" vertical="top"/>
      <protection/>
    </xf>
    <xf numFmtId="0" fontId="5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NumberFormat="1" applyFont="1" applyFill="1" applyBorder="1" applyAlignment="1" applyProtection="1">
      <alignment horizontal="center" vertical="top"/>
      <protection/>
    </xf>
    <xf numFmtId="0" fontId="55" fillId="0" borderId="41" xfId="0" applyNumberFormat="1" applyFont="1" applyFill="1" applyBorder="1" applyAlignment="1" applyProtection="1">
      <alignment horizontal="center" vertical="top"/>
      <protection/>
    </xf>
    <xf numFmtId="0" fontId="54" fillId="0" borderId="42" xfId="0" applyNumberFormat="1" applyFont="1" applyFill="1" applyBorder="1" applyAlignment="1" applyProtection="1">
      <alignment horizontal="center" vertical="top"/>
      <protection/>
    </xf>
    <xf numFmtId="0" fontId="54" fillId="0" borderId="23" xfId="0" applyNumberFormat="1" applyFont="1" applyFill="1" applyBorder="1" applyAlignment="1" applyProtection="1">
      <alignment horizontal="center" vertical="top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workbookViewId="0" topLeftCell="A8">
      <selection activeCell="M11" sqref="A11:IV55"/>
    </sheetView>
  </sheetViews>
  <sheetFormatPr defaultColWidth="32.421875" defaultRowHeight="78" customHeight="1"/>
  <cols>
    <col min="1" max="1" width="4.00390625" style="0" customWidth="1"/>
    <col min="2" max="2" width="32.421875" style="0" customWidth="1"/>
    <col min="3" max="3" width="14.140625" style="0" customWidth="1"/>
    <col min="4" max="4" width="13.8515625" style="0" customWidth="1"/>
    <col min="5" max="5" width="15.7109375" style="0" customWidth="1"/>
    <col min="6" max="6" width="22.7109375" style="13" customWidth="1"/>
    <col min="7" max="7" width="21.421875" style="13" customWidth="1"/>
    <col min="8" max="8" width="20.7109375" style="13" customWidth="1"/>
    <col min="9" max="9" width="21.8515625" style="13" customWidth="1"/>
    <col min="10" max="10" width="17.421875" style="0" customWidth="1"/>
    <col min="11" max="11" width="15.28125" style="0" customWidth="1"/>
    <col min="12" max="12" width="13.140625" style="0" customWidth="1"/>
    <col min="13" max="13" width="19.28125" style="0" customWidth="1"/>
    <col min="14" max="14" width="20.57421875" style="0" customWidth="1"/>
    <col min="15" max="15" width="16.57421875" style="0" customWidth="1"/>
    <col min="16" max="16" width="19.7109375" style="63" customWidth="1"/>
    <col min="17" max="17" width="21.421875" style="63" customWidth="1"/>
    <col min="18" max="18" width="21.421875" style="0" customWidth="1"/>
    <col min="19" max="19" width="32.7109375" style="0" customWidth="1"/>
  </cols>
  <sheetData>
    <row r="1" spans="5:16" s="11" customFormat="1" ht="78" customHeight="1" hidden="1">
      <c r="E1" s="12"/>
      <c r="F1" s="13"/>
      <c r="G1" s="13"/>
      <c r="H1" s="13" t="s">
        <v>45</v>
      </c>
      <c r="I1" s="13"/>
      <c r="J1" s="13"/>
      <c r="K1" s="13" t="s">
        <v>44</v>
      </c>
      <c r="O1" s="13"/>
      <c r="P1" s="13"/>
    </row>
    <row r="2" spans="5:16" s="11" customFormat="1" ht="78" customHeight="1" hidden="1">
      <c r="E2" s="12"/>
      <c r="F2" s="13"/>
      <c r="G2" s="13"/>
      <c r="H2" s="13"/>
      <c r="I2" s="13"/>
      <c r="J2" s="13"/>
      <c r="K2" s="13" t="s">
        <v>115</v>
      </c>
      <c r="M2" s="13"/>
      <c r="N2" s="14"/>
      <c r="O2" s="13"/>
      <c r="P2" s="13"/>
    </row>
    <row r="3" spans="5:16" s="11" customFormat="1" ht="78" customHeight="1" hidden="1">
      <c r="E3" s="15"/>
      <c r="F3" s="13" t="s">
        <v>122</v>
      </c>
      <c r="G3" s="13" t="s">
        <v>105</v>
      </c>
      <c r="H3" s="16" t="s">
        <v>106</v>
      </c>
      <c r="I3" s="17"/>
      <c r="J3" s="13"/>
      <c r="K3" s="13"/>
      <c r="M3" s="13"/>
      <c r="N3" s="13" t="s">
        <v>74</v>
      </c>
      <c r="O3" s="13"/>
      <c r="P3" s="13"/>
    </row>
    <row r="4" spans="5:16" s="11" customFormat="1" ht="78" customHeight="1" hidden="1">
      <c r="E4" s="12" t="s">
        <v>104</v>
      </c>
      <c r="F4" s="18">
        <v>5293956.28</v>
      </c>
      <c r="G4" s="19">
        <v>4785708.19</v>
      </c>
      <c r="H4" s="18">
        <v>62951</v>
      </c>
      <c r="I4" s="20" t="s">
        <v>117</v>
      </c>
      <c r="J4" s="13"/>
      <c r="K4" s="13"/>
      <c r="M4" s="13">
        <v>3872034.92</v>
      </c>
      <c r="N4" s="14" t="s">
        <v>107</v>
      </c>
      <c r="O4" s="13"/>
      <c r="P4" s="13"/>
    </row>
    <row r="5" spans="5:16" s="11" customFormat="1" ht="78" customHeight="1" hidden="1">
      <c r="E5" s="12"/>
      <c r="F5" s="18">
        <f>SUM(F3:F4)</f>
        <v>5293956.28</v>
      </c>
      <c r="G5" s="18"/>
      <c r="H5" s="18"/>
      <c r="I5" s="18">
        <v>59835.06</v>
      </c>
      <c r="J5" s="13"/>
      <c r="K5" s="13"/>
      <c r="N5" s="21"/>
      <c r="O5" s="13"/>
      <c r="P5" s="13"/>
    </row>
    <row r="6" spans="5:16" s="11" customFormat="1" ht="78" customHeight="1" hidden="1">
      <c r="E6" s="12"/>
      <c r="F6" s="13"/>
      <c r="G6" s="13"/>
      <c r="M6" s="11">
        <f>SUM(M2:M5)</f>
        <v>3872034.92</v>
      </c>
      <c r="N6" s="21"/>
      <c r="O6" s="13"/>
      <c r="P6" s="13"/>
    </row>
    <row r="7" spans="5:14" s="11" customFormat="1" ht="78" customHeight="1" hidden="1" thickBot="1">
      <c r="E7" s="12"/>
      <c r="G7" s="11" t="s">
        <v>114</v>
      </c>
      <c r="H7" s="11">
        <f>17290.02+1428</f>
        <v>18718.02</v>
      </c>
      <c r="N7" s="21"/>
    </row>
    <row r="8" spans="1:19" ht="35.25" customHeight="1" thickBot="1">
      <c r="A8" s="85" t="s">
        <v>121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3" t="s">
        <v>116</v>
      </c>
    </row>
    <row r="9" spans="1:19" ht="44.25" customHeight="1">
      <c r="A9" s="80"/>
      <c r="B9" s="87"/>
      <c r="C9" s="87"/>
      <c r="D9" s="87"/>
      <c r="E9" s="88"/>
      <c r="F9" s="79" t="s">
        <v>103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84"/>
    </row>
    <row r="10" spans="1:19" ht="78" customHeight="1">
      <c r="A10" s="81" t="s">
        <v>63</v>
      </c>
      <c r="B10" s="81" t="s">
        <v>0</v>
      </c>
      <c r="C10" s="68" t="s">
        <v>1</v>
      </c>
      <c r="D10" s="68" t="s">
        <v>110</v>
      </c>
      <c r="E10" s="68" t="s">
        <v>120</v>
      </c>
      <c r="F10" s="70" t="s">
        <v>54</v>
      </c>
      <c r="G10" s="68" t="s">
        <v>55</v>
      </c>
      <c r="H10" s="68" t="s">
        <v>46</v>
      </c>
      <c r="I10" s="68" t="s">
        <v>47</v>
      </c>
      <c r="J10" s="68" t="s">
        <v>48</v>
      </c>
      <c r="K10" s="68" t="s">
        <v>119</v>
      </c>
      <c r="L10" s="68" t="s">
        <v>118</v>
      </c>
      <c r="M10" s="73" t="s">
        <v>56</v>
      </c>
      <c r="N10" s="74"/>
      <c r="O10" s="68" t="s">
        <v>62</v>
      </c>
      <c r="P10" s="77" t="s">
        <v>59</v>
      </c>
      <c r="Q10" s="68" t="s">
        <v>60</v>
      </c>
      <c r="R10" s="89" t="s">
        <v>61</v>
      </c>
      <c r="S10" s="84"/>
    </row>
    <row r="11" spans="1:19" ht="78" customHeight="1" thickBot="1">
      <c r="A11" s="82"/>
      <c r="B11" s="82"/>
      <c r="C11" s="69"/>
      <c r="D11" s="69"/>
      <c r="E11" s="69"/>
      <c r="F11" s="71"/>
      <c r="G11" s="69"/>
      <c r="H11" s="69"/>
      <c r="I11" s="69"/>
      <c r="J11" s="72"/>
      <c r="K11" s="72"/>
      <c r="L11" s="72"/>
      <c r="M11" s="22" t="s">
        <v>57</v>
      </c>
      <c r="N11" s="22" t="s">
        <v>58</v>
      </c>
      <c r="O11" s="69"/>
      <c r="P11" s="78"/>
      <c r="Q11" s="72"/>
      <c r="R11" s="90"/>
      <c r="S11" s="84"/>
    </row>
    <row r="12" spans="1:19" s="6" customFormat="1" ht="29.25" customHeight="1" thickBot="1">
      <c r="A12" s="23">
        <v>1</v>
      </c>
      <c r="B12" s="24">
        <v>2</v>
      </c>
      <c r="C12" s="24">
        <v>3</v>
      </c>
      <c r="D12" s="24"/>
      <c r="E12" s="24">
        <v>4</v>
      </c>
      <c r="F12" s="25">
        <v>5</v>
      </c>
      <c r="G12" s="25">
        <v>6</v>
      </c>
      <c r="H12" s="25">
        <v>7</v>
      </c>
      <c r="I12" s="26">
        <v>8</v>
      </c>
      <c r="J12" s="27">
        <v>9</v>
      </c>
      <c r="K12" s="27">
        <v>10</v>
      </c>
      <c r="L12" s="25">
        <v>11</v>
      </c>
      <c r="M12" s="28">
        <v>12</v>
      </c>
      <c r="N12" s="29">
        <v>13</v>
      </c>
      <c r="O12" s="30">
        <v>14</v>
      </c>
      <c r="P12" s="31">
        <v>15</v>
      </c>
      <c r="Q12" s="66">
        <v>16</v>
      </c>
      <c r="R12" s="64">
        <v>17</v>
      </c>
      <c r="S12" s="30">
        <v>18</v>
      </c>
    </row>
    <row r="13" spans="1:19" s="1" customFormat="1" ht="69" customHeight="1" thickBot="1">
      <c r="A13" s="32" t="s">
        <v>2</v>
      </c>
      <c r="B13" s="33" t="s">
        <v>3</v>
      </c>
      <c r="C13" s="34">
        <v>1990</v>
      </c>
      <c r="D13" s="35">
        <v>731</v>
      </c>
      <c r="E13" s="35">
        <v>731</v>
      </c>
      <c r="F13" s="36">
        <f>F4/E56*E13</f>
        <v>59890.36851001531</v>
      </c>
      <c r="G13" s="36">
        <f>(G4/H4*E13)</f>
        <v>55572.6308857683</v>
      </c>
      <c r="H13" s="36">
        <v>12271.500000000002</v>
      </c>
      <c r="I13" s="36">
        <f>251.97+2778.46</f>
        <v>3030.43</v>
      </c>
      <c r="J13" s="37">
        <v>0</v>
      </c>
      <c r="K13" s="38">
        <v>2836.16</v>
      </c>
      <c r="L13" s="39">
        <v>0</v>
      </c>
      <c r="M13" s="40">
        <f>M4/E56*E13</f>
        <v>43804.214839954744</v>
      </c>
      <c r="N13" s="41">
        <f aca="true" t="shared" si="0" ref="N13:N55">M13*85%</f>
        <v>37233.58261396153</v>
      </c>
      <c r="O13" s="41">
        <f>SUM(F13:M13)</f>
        <v>177405.30423573835</v>
      </c>
      <c r="P13" s="42">
        <v>182837.36</v>
      </c>
      <c r="Q13" s="65">
        <v>176961.45</v>
      </c>
      <c r="R13" s="43">
        <f aca="true" t="shared" si="1" ref="R13:R55">Q13-O13</f>
        <v>-443.85423573834123</v>
      </c>
      <c r="S13" s="44" t="s">
        <v>88</v>
      </c>
    </row>
    <row r="14" spans="1:19" s="1" customFormat="1" ht="78" customHeight="1" thickBot="1">
      <c r="A14" s="45">
        <v>2</v>
      </c>
      <c r="B14" s="33" t="s">
        <v>8</v>
      </c>
      <c r="C14" s="46">
        <v>1978</v>
      </c>
      <c r="D14" s="46">
        <v>868.6</v>
      </c>
      <c r="E14" s="46">
        <v>868.6</v>
      </c>
      <c r="F14" s="47">
        <f>F4/E56*E14</f>
        <v>71163.8496413123</v>
      </c>
      <c r="G14" s="47">
        <f>(G4/H4*E14)</f>
        <v>66033.36140544234</v>
      </c>
      <c r="H14" s="47">
        <v>1963.4500000000003</v>
      </c>
      <c r="I14" s="47">
        <f>636.34+3301.47</f>
        <v>3937.81</v>
      </c>
      <c r="J14" s="48">
        <v>0</v>
      </c>
      <c r="K14" s="38">
        <v>3793.16</v>
      </c>
      <c r="L14" s="39">
        <v>0</v>
      </c>
      <c r="M14" s="49">
        <f>M4/E56*E14</f>
        <v>52049.71410394623</v>
      </c>
      <c r="N14" s="50">
        <f t="shared" si="0"/>
        <v>44242.2569883543</v>
      </c>
      <c r="O14" s="50">
        <f>SUM(F14:M14)</f>
        <v>198941.3451507009</v>
      </c>
      <c r="P14" s="51">
        <v>198488.38</v>
      </c>
      <c r="Q14" s="51">
        <v>173982.18</v>
      </c>
      <c r="R14" s="52">
        <f t="shared" si="1"/>
        <v>-24959.165150700894</v>
      </c>
      <c r="S14" s="53" t="s">
        <v>89</v>
      </c>
    </row>
    <row r="15" spans="1:19" s="1" customFormat="1" ht="78" customHeight="1" thickBot="1">
      <c r="A15" s="45">
        <v>3</v>
      </c>
      <c r="B15" s="33" t="s">
        <v>9</v>
      </c>
      <c r="C15" s="46">
        <v>1988</v>
      </c>
      <c r="D15" s="46">
        <v>732.3</v>
      </c>
      <c r="E15" s="46">
        <v>732.3</v>
      </c>
      <c r="F15" s="47">
        <f>F4/E56*E15</f>
        <v>59996.87668930808</v>
      </c>
      <c r="G15" s="47">
        <f>(G4/H4*E15)</f>
        <v>55671.46046189894</v>
      </c>
      <c r="H15" s="47">
        <v>1914.8399999999997</v>
      </c>
      <c r="I15" s="47">
        <f>169+2817.75</f>
        <v>2986.75</v>
      </c>
      <c r="J15" s="48">
        <v>0</v>
      </c>
      <c r="K15" s="38">
        <v>1869.98</v>
      </c>
      <c r="L15" s="39">
        <v>0</v>
      </c>
      <c r="M15" s="49">
        <f>M4/E56*E15</f>
        <v>43882.11563241978</v>
      </c>
      <c r="N15" s="50">
        <f t="shared" si="0"/>
        <v>37299.79828755681</v>
      </c>
      <c r="O15" s="50">
        <f aca="true" t="shared" si="2" ref="O15:O55">SUM(F15:M15)</f>
        <v>166322.0227836268</v>
      </c>
      <c r="P15" s="51">
        <v>182823.23</v>
      </c>
      <c r="Q15" s="51">
        <v>163517.12</v>
      </c>
      <c r="R15" s="52">
        <f t="shared" si="1"/>
        <v>-2804.902783626807</v>
      </c>
      <c r="S15" s="53" t="s">
        <v>78</v>
      </c>
    </row>
    <row r="16" spans="1:19" s="1" customFormat="1" ht="78" customHeight="1" thickBot="1">
      <c r="A16" s="45">
        <v>4</v>
      </c>
      <c r="B16" s="33" t="s">
        <v>4</v>
      </c>
      <c r="C16" s="46">
        <v>1991</v>
      </c>
      <c r="D16" s="46">
        <v>719.2</v>
      </c>
      <c r="E16" s="46">
        <v>719.2</v>
      </c>
      <c r="F16" s="47">
        <f>F4/E56*E16</f>
        <v>58923.601959511645</v>
      </c>
      <c r="G16" s="47">
        <f>(G4/H4*E16)</f>
        <v>54675.56242550556</v>
      </c>
      <c r="H16" s="47">
        <v>3090.9500000000003</v>
      </c>
      <c r="I16" s="47">
        <f>2767.95</f>
        <v>2767.95</v>
      </c>
      <c r="J16" s="48">
        <v>3940</v>
      </c>
      <c r="K16" s="38">
        <v>1898.28</v>
      </c>
      <c r="L16" s="39">
        <v>0</v>
      </c>
      <c r="M16" s="49">
        <f>M4/E56*E16</f>
        <v>43097.11533911827</v>
      </c>
      <c r="N16" s="50">
        <f t="shared" si="0"/>
        <v>36632.54803825053</v>
      </c>
      <c r="O16" s="50">
        <f t="shared" si="2"/>
        <v>168393.45972413546</v>
      </c>
      <c r="P16" s="51">
        <v>180476.03</v>
      </c>
      <c r="Q16" s="51">
        <v>181141.96</v>
      </c>
      <c r="R16" s="52">
        <f t="shared" si="1"/>
        <v>12748.500275864528</v>
      </c>
      <c r="S16" s="54" t="s">
        <v>77</v>
      </c>
    </row>
    <row r="17" spans="1:19" s="1" customFormat="1" ht="78" customHeight="1" thickBot="1">
      <c r="A17" s="45">
        <v>5</v>
      </c>
      <c r="B17" s="33" t="s">
        <v>28</v>
      </c>
      <c r="C17" s="46">
        <v>1991</v>
      </c>
      <c r="D17" s="46">
        <v>721.5</v>
      </c>
      <c r="E17" s="46">
        <v>721.5</v>
      </c>
      <c r="F17" s="47">
        <f>F4/E56*E17</f>
        <v>59112.039507491165</v>
      </c>
      <c r="G17" s="47">
        <f>(G4/H4*E17)</f>
        <v>54850.41475250592</v>
      </c>
      <c r="H17" s="47">
        <v>3941.4400000000005</v>
      </c>
      <c r="I17" s="47">
        <v>2776.7</v>
      </c>
      <c r="J17" s="48">
        <v>0</v>
      </c>
      <c r="K17" s="38">
        <v>1869.98</v>
      </c>
      <c r="L17" s="39">
        <v>0</v>
      </c>
      <c r="M17" s="49">
        <f>M4/E56*E17</f>
        <v>43234.93981809487</v>
      </c>
      <c r="N17" s="50">
        <f t="shared" si="0"/>
        <v>36749.69884538064</v>
      </c>
      <c r="O17" s="50">
        <f t="shared" si="2"/>
        <v>165785.51407809195</v>
      </c>
      <c r="P17" s="51">
        <v>180437.63</v>
      </c>
      <c r="Q17" s="51">
        <v>183418.06</v>
      </c>
      <c r="R17" s="52">
        <f t="shared" si="1"/>
        <v>17632.54592190805</v>
      </c>
      <c r="S17" s="54" t="s">
        <v>75</v>
      </c>
    </row>
    <row r="18" spans="1:19" s="1" customFormat="1" ht="78" customHeight="1" thickBot="1">
      <c r="A18" s="45">
        <v>6</v>
      </c>
      <c r="B18" s="33" t="s">
        <v>10</v>
      </c>
      <c r="C18" s="46">
        <v>1989</v>
      </c>
      <c r="D18" s="46">
        <v>4255.9</v>
      </c>
      <c r="E18" s="46">
        <v>4255.9</v>
      </c>
      <c r="F18" s="47">
        <f>F4/E56*E18</f>
        <v>348683.20019394543</v>
      </c>
      <c r="G18" s="47">
        <f>(G4/H4*E18)</f>
        <v>323545.2254264587</v>
      </c>
      <c r="H18" s="47">
        <v>39356.31</v>
      </c>
      <c r="I18" s="47">
        <f>18004.17+18367.29</f>
        <v>36371.46</v>
      </c>
      <c r="J18" s="48">
        <v>0</v>
      </c>
      <c r="K18" s="38">
        <v>11171.7</v>
      </c>
      <c r="L18" s="39">
        <v>0</v>
      </c>
      <c r="M18" s="49">
        <f>M4/E56*E18</f>
        <v>255029.2174245737</v>
      </c>
      <c r="N18" s="50">
        <f t="shared" si="0"/>
        <v>216774.83481088764</v>
      </c>
      <c r="O18" s="50">
        <f t="shared" si="2"/>
        <v>1014157.1130449778</v>
      </c>
      <c r="P18" s="51">
        <v>1075683.9</v>
      </c>
      <c r="Q18" s="51">
        <v>1051750.99</v>
      </c>
      <c r="R18" s="52">
        <f t="shared" si="1"/>
        <v>37593.87695502222</v>
      </c>
      <c r="S18" s="53" t="s">
        <v>86</v>
      </c>
    </row>
    <row r="19" spans="1:19" s="1" customFormat="1" ht="78" customHeight="1" thickBot="1">
      <c r="A19" s="45">
        <v>7</v>
      </c>
      <c r="B19" s="33" t="s">
        <v>11</v>
      </c>
      <c r="C19" s="46">
        <v>1988</v>
      </c>
      <c r="D19" s="46">
        <v>4245.1</v>
      </c>
      <c r="E19" s="46">
        <v>4245.1</v>
      </c>
      <c r="F19" s="47">
        <f>F4/E56*E19</f>
        <v>347798.36301212857</v>
      </c>
      <c r="G19" s="47">
        <f>(G4/H4*E19)</f>
        <v>322724.1797170657</v>
      </c>
      <c r="H19" s="47">
        <v>29164.86</v>
      </c>
      <c r="I19" s="47">
        <f>8122.47+18190.24</f>
        <v>26312.710000000003</v>
      </c>
      <c r="J19" s="48">
        <v>0</v>
      </c>
      <c r="K19" s="38">
        <v>11171.7</v>
      </c>
      <c r="L19" s="39">
        <v>0</v>
      </c>
      <c r="M19" s="49">
        <f>M4/E56*E19</f>
        <v>254382.04161024882</v>
      </c>
      <c r="N19" s="50">
        <f t="shared" si="0"/>
        <v>216224.7353687115</v>
      </c>
      <c r="O19" s="50">
        <f t="shared" si="2"/>
        <v>991553.854339443</v>
      </c>
      <c r="P19" s="51">
        <v>1067545.23</v>
      </c>
      <c r="Q19" s="51">
        <v>1076165.3</v>
      </c>
      <c r="R19" s="52">
        <f t="shared" si="1"/>
        <v>84611.44566055702</v>
      </c>
      <c r="S19" s="53" t="s">
        <v>85</v>
      </c>
    </row>
    <row r="20" spans="1:19" s="1" customFormat="1" ht="78" customHeight="1" thickBot="1">
      <c r="A20" s="45">
        <v>8</v>
      </c>
      <c r="B20" s="33" t="s">
        <v>5</v>
      </c>
      <c r="C20" s="46">
        <v>1978</v>
      </c>
      <c r="D20" s="46">
        <v>772.1</v>
      </c>
      <c r="E20" s="46">
        <v>772.1</v>
      </c>
      <c r="F20" s="47">
        <f>F4/E56*E20</f>
        <v>63257.66556304079</v>
      </c>
      <c r="G20" s="47">
        <f>(G4/H4*E20)</f>
        <v>58697.16594651396</v>
      </c>
      <c r="H20" s="47">
        <v>6211.1</v>
      </c>
      <c r="I20" s="47">
        <f>431.39+2934.68</f>
        <v>3366.0699999999997</v>
      </c>
      <c r="J20" s="48">
        <v>0</v>
      </c>
      <c r="K20" s="38">
        <v>2751.2000000000003</v>
      </c>
      <c r="L20" s="39">
        <v>0</v>
      </c>
      <c r="M20" s="49">
        <f>M4/E56*E20</f>
        <v>46267.07835558011</v>
      </c>
      <c r="N20" s="50">
        <f t="shared" si="0"/>
        <v>39327.01660224309</v>
      </c>
      <c r="O20" s="50">
        <f t="shared" si="2"/>
        <v>180550.2798651349</v>
      </c>
      <c r="P20" s="51">
        <v>177419.41</v>
      </c>
      <c r="Q20" s="51">
        <v>167045.2</v>
      </c>
      <c r="R20" s="52">
        <f t="shared" si="1"/>
        <v>-13505.079865134874</v>
      </c>
      <c r="S20" s="54" t="s">
        <v>49</v>
      </c>
    </row>
    <row r="21" spans="1:19" s="1" customFormat="1" ht="78" customHeight="1" thickBot="1">
      <c r="A21" s="45">
        <v>9</v>
      </c>
      <c r="B21" s="33" t="s">
        <v>12</v>
      </c>
      <c r="C21" s="46">
        <v>1979</v>
      </c>
      <c r="D21" s="46">
        <v>779.4</v>
      </c>
      <c r="E21" s="46">
        <v>779.4</v>
      </c>
      <c r="F21" s="47">
        <f>F4/E56*E21</f>
        <v>63855.74995445408</v>
      </c>
      <c r="G21" s="47">
        <f>(G4/H4*E21)</f>
        <v>59252.13202786294</v>
      </c>
      <c r="H21" s="47">
        <v>3868.59</v>
      </c>
      <c r="I21" s="47">
        <f>7291.02+3232.43</f>
        <v>10523.45</v>
      </c>
      <c r="J21" s="48">
        <v>0</v>
      </c>
      <c r="K21" s="38">
        <v>2751.2000000000003</v>
      </c>
      <c r="L21" s="39">
        <v>0</v>
      </c>
      <c r="M21" s="49">
        <f>M4/E56*E21</f>
        <v>46704.521267114535</v>
      </c>
      <c r="N21" s="50">
        <f t="shared" si="0"/>
        <v>39698.84307704736</v>
      </c>
      <c r="O21" s="50">
        <f t="shared" si="2"/>
        <v>186955.64324943157</v>
      </c>
      <c r="P21" s="51">
        <v>176269.52</v>
      </c>
      <c r="Q21" s="51">
        <v>186150.08</v>
      </c>
      <c r="R21" s="52">
        <f t="shared" si="1"/>
        <v>-805.5632494315796</v>
      </c>
      <c r="S21" s="53" t="s">
        <v>97</v>
      </c>
    </row>
    <row r="22" spans="1:19" s="1" customFormat="1" ht="78" customHeight="1" thickBot="1">
      <c r="A22" s="45">
        <v>10</v>
      </c>
      <c r="B22" s="33" t="s">
        <v>6</v>
      </c>
      <c r="C22" s="46">
        <v>1991</v>
      </c>
      <c r="D22" s="46">
        <v>5272.8</v>
      </c>
      <c r="E22" s="46">
        <v>5272.8</v>
      </c>
      <c r="F22" s="47">
        <f>F4/E56*E22</f>
        <v>431997.17521150305</v>
      </c>
      <c r="G22" s="47">
        <f>(G4/H4*E22)</f>
        <v>400852.76078588114</v>
      </c>
      <c r="H22" s="47">
        <v>34977.39</v>
      </c>
      <c r="I22" s="47">
        <f>105520.93+24687.43</f>
        <v>130208.35999999999</v>
      </c>
      <c r="J22" s="48">
        <v>78211</v>
      </c>
      <c r="K22" s="38">
        <v>11721.3</v>
      </c>
      <c r="L22" s="39">
        <v>0</v>
      </c>
      <c r="M22" s="49">
        <f>M4/E56*E22</f>
        <v>315965.6142381852</v>
      </c>
      <c r="N22" s="50">
        <f t="shared" si="0"/>
        <v>268570.7721024574</v>
      </c>
      <c r="O22" s="50">
        <f t="shared" si="2"/>
        <v>1403933.6002355693</v>
      </c>
      <c r="P22" s="51">
        <v>1332184.13</v>
      </c>
      <c r="Q22" s="51">
        <v>1312806.79</v>
      </c>
      <c r="R22" s="52">
        <f t="shared" si="1"/>
        <v>-91126.81023556925</v>
      </c>
      <c r="S22" s="53" t="s">
        <v>98</v>
      </c>
    </row>
    <row r="23" spans="1:19" s="1" customFormat="1" ht="78" customHeight="1" thickBot="1">
      <c r="A23" s="45">
        <v>11</v>
      </c>
      <c r="B23" s="33" t="s">
        <v>41</v>
      </c>
      <c r="C23" s="46">
        <v>1984</v>
      </c>
      <c r="D23" s="46">
        <v>3575.2</v>
      </c>
      <c r="E23" s="46">
        <v>3575.2</v>
      </c>
      <c r="F23" s="47">
        <f>F4/E56*E23</f>
        <v>292913.87892887375</v>
      </c>
      <c r="G23" s="47">
        <f>(G4/H4*E23)</f>
        <v>271796.5389094375</v>
      </c>
      <c r="H23" s="47">
        <v>34216.939999999995</v>
      </c>
      <c r="I23" s="47">
        <f>2033.1+14087.01</f>
        <v>16120.11</v>
      </c>
      <c r="J23" s="48">
        <v>97660</v>
      </c>
      <c r="K23" s="38">
        <v>0</v>
      </c>
      <c r="L23" s="39">
        <v>0</v>
      </c>
      <c r="M23" s="49">
        <f>M4/E56*E23</f>
        <v>214239.16401615075</v>
      </c>
      <c r="N23" s="50">
        <f t="shared" si="0"/>
        <v>182103.28941372814</v>
      </c>
      <c r="O23" s="50">
        <f t="shared" si="2"/>
        <v>926946.631854462</v>
      </c>
      <c r="P23" s="51">
        <v>927611.26</v>
      </c>
      <c r="Q23" s="51">
        <v>844128.9</v>
      </c>
      <c r="R23" s="52">
        <f t="shared" si="1"/>
        <v>-82817.73185446195</v>
      </c>
      <c r="S23" s="53" t="s">
        <v>102</v>
      </c>
    </row>
    <row r="24" spans="1:19" s="1" customFormat="1" ht="78" customHeight="1" thickBot="1">
      <c r="A24" s="45">
        <v>12</v>
      </c>
      <c r="B24" s="33" t="s">
        <v>112</v>
      </c>
      <c r="C24" s="46">
        <v>1978</v>
      </c>
      <c r="D24" s="46">
        <v>271.7</v>
      </c>
      <c r="E24" s="46">
        <v>271.7</v>
      </c>
      <c r="F24" s="47">
        <f>F4/E56*E24</f>
        <v>22260.209472190367</v>
      </c>
      <c r="G24" s="47">
        <f>(G4/H4*E24)</f>
        <v>20655.38141130403</v>
      </c>
      <c r="H24" s="55">
        <v>1219.89</v>
      </c>
      <c r="I24" s="47">
        <f>2148+1032.71</f>
        <v>3180.71</v>
      </c>
      <c r="J24" s="48">
        <v>0</v>
      </c>
      <c r="K24" s="38">
        <v>1435.32</v>
      </c>
      <c r="L24" s="39">
        <v>0</v>
      </c>
      <c r="M24" s="49">
        <f>M4/E56*E24</f>
        <v>16281.26562519248</v>
      </c>
      <c r="N24" s="50">
        <f t="shared" si="0"/>
        <v>13839.075781413607</v>
      </c>
      <c r="O24" s="50">
        <f t="shared" si="2"/>
        <v>65032.776508686875</v>
      </c>
      <c r="P24" s="51">
        <v>66635.98</v>
      </c>
      <c r="Q24" s="51">
        <v>59039.85</v>
      </c>
      <c r="R24" s="52">
        <f t="shared" si="1"/>
        <v>-5992.926508686876</v>
      </c>
      <c r="S24" s="54" t="s">
        <v>51</v>
      </c>
    </row>
    <row r="25" spans="1:19" s="1" customFormat="1" ht="32.25" customHeight="1" thickBot="1">
      <c r="A25" s="45">
        <v>13</v>
      </c>
      <c r="B25" s="33" t="s">
        <v>113</v>
      </c>
      <c r="C25" s="46">
        <v>1977</v>
      </c>
      <c r="D25" s="56">
        <v>271</v>
      </c>
      <c r="E25" s="56">
        <v>271</v>
      </c>
      <c r="F25" s="47">
        <f>F4/E56*E25</f>
        <v>22202.85891410964</v>
      </c>
      <c r="G25" s="47">
        <f>(G4/H4*E25)</f>
        <v>20602.165485695226</v>
      </c>
      <c r="H25" s="47">
        <v>1443.4599999999998</v>
      </c>
      <c r="I25" s="47">
        <f>4639+1030.05</f>
        <v>5669.05</v>
      </c>
      <c r="J25" s="48">
        <v>0</v>
      </c>
      <c r="K25" s="38">
        <v>1435.32</v>
      </c>
      <c r="L25" s="39">
        <v>0</v>
      </c>
      <c r="M25" s="49">
        <f>M4/E56*E25</f>
        <v>16239.319044634385</v>
      </c>
      <c r="N25" s="50">
        <f t="shared" si="0"/>
        <v>13803.421187939228</v>
      </c>
      <c r="O25" s="50">
        <f t="shared" si="2"/>
        <v>67592.17344443925</v>
      </c>
      <c r="P25" s="51">
        <v>66884.92</v>
      </c>
      <c r="Q25" s="51">
        <v>68979.77</v>
      </c>
      <c r="R25" s="52">
        <f t="shared" si="1"/>
        <v>1387.5965555607545</v>
      </c>
      <c r="S25" s="54"/>
    </row>
    <row r="26" spans="1:19" s="1" customFormat="1" ht="78" customHeight="1" thickBot="1">
      <c r="A26" s="45">
        <v>14</v>
      </c>
      <c r="B26" s="33" t="s">
        <v>39</v>
      </c>
      <c r="C26" s="46">
        <v>1986</v>
      </c>
      <c r="D26" s="46">
        <v>3215.3</v>
      </c>
      <c r="E26" s="46">
        <v>3215.3</v>
      </c>
      <c r="F26" s="47">
        <f>F4/E56*E26</f>
        <v>263427.49913851195</v>
      </c>
      <c r="G26" s="47">
        <f>(G4/H4*E26)</f>
        <v>244435.95087142385</v>
      </c>
      <c r="H26" s="47">
        <v>31891.330000000005</v>
      </c>
      <c r="I26" s="47">
        <f>32043.08+12221.06</f>
        <v>44264.14</v>
      </c>
      <c r="J26" s="48">
        <v>0</v>
      </c>
      <c r="K26" s="38">
        <v>8387.699999999999</v>
      </c>
      <c r="L26" s="39">
        <v>0</v>
      </c>
      <c r="M26" s="49">
        <f>M4/E56*E26</f>
        <v>192672.62924063817</v>
      </c>
      <c r="N26" s="50">
        <f t="shared" si="0"/>
        <v>163771.73485454245</v>
      </c>
      <c r="O26" s="50">
        <f t="shared" si="2"/>
        <v>785079.2492505738</v>
      </c>
      <c r="P26" s="51">
        <v>811378.49</v>
      </c>
      <c r="Q26" s="51">
        <v>809951.58</v>
      </c>
      <c r="R26" s="52">
        <f t="shared" si="1"/>
        <v>24872.330749426153</v>
      </c>
      <c r="S26" s="53" t="s">
        <v>79</v>
      </c>
    </row>
    <row r="27" spans="1:19" s="1" customFormat="1" ht="78" customHeight="1" thickBot="1">
      <c r="A27" s="45">
        <v>15</v>
      </c>
      <c r="B27" s="33" t="s">
        <v>7</v>
      </c>
      <c r="C27" s="46">
        <v>1977</v>
      </c>
      <c r="D27" s="46">
        <v>841.9</v>
      </c>
      <c r="E27" s="46">
        <v>841.9</v>
      </c>
      <c r="F27" s="47">
        <f>F4/E56*E27</f>
        <v>68976.33549737604</v>
      </c>
      <c r="G27" s="47">
        <f>(G4/H4*E27)</f>
        <v>64003.5539572207</v>
      </c>
      <c r="H27" s="47">
        <v>4466.35</v>
      </c>
      <c r="I27" s="47">
        <f>24144.14+3199.98</f>
        <v>27344.12</v>
      </c>
      <c r="J27" s="48">
        <v>0</v>
      </c>
      <c r="K27" s="38">
        <v>2751.2000000000003</v>
      </c>
      <c r="L27" s="39">
        <v>0</v>
      </c>
      <c r="M27" s="49">
        <f>M4/E56*E27</f>
        <v>50449.75167408741</v>
      </c>
      <c r="N27" s="50">
        <f t="shared" si="0"/>
        <v>42882.2889229743</v>
      </c>
      <c r="O27" s="50">
        <f t="shared" si="2"/>
        <v>217991.31112868414</v>
      </c>
      <c r="P27" s="51">
        <v>212971.72</v>
      </c>
      <c r="Q27" s="51">
        <v>218907.68</v>
      </c>
      <c r="R27" s="52">
        <f t="shared" si="1"/>
        <v>916.3688713158481</v>
      </c>
      <c r="S27" s="54" t="s">
        <v>66</v>
      </c>
    </row>
    <row r="28" spans="1:19" s="1" customFormat="1" ht="42" customHeight="1" thickBot="1">
      <c r="A28" s="45">
        <v>16</v>
      </c>
      <c r="B28" s="33" t="s">
        <v>40</v>
      </c>
      <c r="C28" s="46">
        <v>1966</v>
      </c>
      <c r="D28" s="46">
        <v>180.9</v>
      </c>
      <c r="E28" s="46">
        <v>180.9</v>
      </c>
      <c r="F28" s="47">
        <f>F4/E56*E28</f>
        <v>14821.022795433337</v>
      </c>
      <c r="G28" s="47">
        <v>0</v>
      </c>
      <c r="H28" s="47">
        <v>-238.1200000000001</v>
      </c>
      <c r="I28" s="47">
        <f>687.58</f>
        <v>687.58</v>
      </c>
      <c r="J28" s="48">
        <v>0</v>
      </c>
      <c r="K28" s="38">
        <v>802.56</v>
      </c>
      <c r="L28" s="39">
        <v>0</v>
      </c>
      <c r="M28" s="49">
        <f>M4/E56*E28</f>
        <v>10840.19488994229</v>
      </c>
      <c r="N28" s="50">
        <f t="shared" si="0"/>
        <v>9214.165656450947</v>
      </c>
      <c r="O28" s="50">
        <f t="shared" si="2"/>
        <v>26913.237685375625</v>
      </c>
      <c r="P28" s="51">
        <v>44423.06</v>
      </c>
      <c r="Q28" s="51">
        <v>45055.21</v>
      </c>
      <c r="R28" s="52">
        <f t="shared" si="1"/>
        <v>18141.972314624374</v>
      </c>
      <c r="S28" s="54" t="s">
        <v>50</v>
      </c>
    </row>
    <row r="29" spans="1:19" s="1" customFormat="1" ht="78" customHeight="1" thickBot="1">
      <c r="A29" s="45">
        <v>17</v>
      </c>
      <c r="B29" s="33" t="s">
        <v>13</v>
      </c>
      <c r="C29" s="46">
        <v>1974</v>
      </c>
      <c r="D29" s="46">
        <v>715.6</v>
      </c>
      <c r="E29" s="46">
        <v>715.6</v>
      </c>
      <c r="F29" s="47">
        <f>F4/E56*E29</f>
        <v>58628.65623223934</v>
      </c>
      <c r="G29" s="47">
        <f>(G4/H4*E29)</f>
        <v>54401.88052237455</v>
      </c>
      <c r="H29" s="47">
        <v>16849.6</v>
      </c>
      <c r="I29" s="47">
        <f>3741.93+2862.18</f>
        <v>6604.11</v>
      </c>
      <c r="J29" s="48">
        <v>0</v>
      </c>
      <c r="K29" s="38">
        <v>2825.3599999999997</v>
      </c>
      <c r="L29" s="39">
        <v>0</v>
      </c>
      <c r="M29" s="49">
        <f>M4/E56*E29</f>
        <v>42881.39006767663</v>
      </c>
      <c r="N29" s="50">
        <f t="shared" si="0"/>
        <v>36449.18155752513</v>
      </c>
      <c r="O29" s="50">
        <f t="shared" si="2"/>
        <v>182190.9968222905</v>
      </c>
      <c r="P29" s="51">
        <v>161538.9</v>
      </c>
      <c r="Q29" s="51">
        <v>162109.55</v>
      </c>
      <c r="R29" s="52">
        <f t="shared" si="1"/>
        <v>-20081.446822290513</v>
      </c>
      <c r="S29" s="54" t="s">
        <v>67</v>
      </c>
    </row>
    <row r="30" spans="1:19" s="1" customFormat="1" ht="78" customHeight="1" thickBot="1">
      <c r="A30" s="45">
        <v>18</v>
      </c>
      <c r="B30" s="33" t="s">
        <v>14</v>
      </c>
      <c r="C30" s="46">
        <v>1972</v>
      </c>
      <c r="D30" s="46">
        <v>714.9</v>
      </c>
      <c r="E30" s="46">
        <v>714.9</v>
      </c>
      <c r="F30" s="47">
        <f>F4/E56*E30</f>
        <v>58571.305674158604</v>
      </c>
      <c r="G30" s="47">
        <f>(G4/H4*E30)</f>
        <v>54348.66459676574</v>
      </c>
      <c r="H30" s="47">
        <v>7955.790000000001</v>
      </c>
      <c r="I30" s="47">
        <f>2124.2+2859.52</f>
        <v>4983.719999999999</v>
      </c>
      <c r="J30" s="48">
        <v>0</v>
      </c>
      <c r="K30" s="38">
        <v>2848</v>
      </c>
      <c r="L30" s="39">
        <v>0</v>
      </c>
      <c r="M30" s="49">
        <f>M4/E56*E30</f>
        <v>42839.44348711853</v>
      </c>
      <c r="N30" s="50">
        <f t="shared" si="0"/>
        <v>36413.52696405075</v>
      </c>
      <c r="O30" s="50">
        <f t="shared" si="2"/>
        <v>171546.92375804286</v>
      </c>
      <c r="P30" s="51">
        <v>161403.96</v>
      </c>
      <c r="Q30" s="51">
        <v>158362.22</v>
      </c>
      <c r="R30" s="52">
        <f t="shared" si="1"/>
        <v>-13184.703758042859</v>
      </c>
      <c r="S30" s="54" t="s">
        <v>68</v>
      </c>
    </row>
    <row r="31" spans="1:19" s="1" customFormat="1" ht="78" customHeight="1" thickBot="1">
      <c r="A31" s="45">
        <v>19</v>
      </c>
      <c r="B31" s="33" t="s">
        <v>15</v>
      </c>
      <c r="C31" s="46">
        <v>1971</v>
      </c>
      <c r="D31" s="46">
        <v>715.2</v>
      </c>
      <c r="E31" s="46">
        <v>715.2</v>
      </c>
      <c r="F31" s="47">
        <f>F4/E56*E31</f>
        <v>58595.88448476464</v>
      </c>
      <c r="G31" s="47">
        <f>(G4/H4*E31)</f>
        <v>54371.47142202666</v>
      </c>
      <c r="H31" s="47">
        <v>6279.149999999999</v>
      </c>
      <c r="I31" s="47">
        <f>654.2+2860.66</f>
        <v>3514.8599999999997</v>
      </c>
      <c r="J31" s="48">
        <v>0</v>
      </c>
      <c r="K31" s="38">
        <v>2825.3599999999997</v>
      </c>
      <c r="L31" s="39">
        <v>0</v>
      </c>
      <c r="M31" s="49">
        <f>M4/E56*E31</f>
        <v>42857.420593072005</v>
      </c>
      <c r="N31" s="50">
        <f t="shared" si="0"/>
        <v>36428.8075041112</v>
      </c>
      <c r="O31" s="50">
        <f t="shared" si="2"/>
        <v>168444.1464998633</v>
      </c>
      <c r="P31" s="51">
        <v>161779.93</v>
      </c>
      <c r="Q31" s="51">
        <v>166841.28</v>
      </c>
      <c r="R31" s="52">
        <f t="shared" si="1"/>
        <v>-1602.866499863303</v>
      </c>
      <c r="S31" s="54" t="s">
        <v>52</v>
      </c>
    </row>
    <row r="32" spans="1:19" s="1" customFormat="1" ht="78" customHeight="1" thickBot="1">
      <c r="A32" s="45">
        <v>20</v>
      </c>
      <c r="B32" s="33" t="s">
        <v>16</v>
      </c>
      <c r="C32" s="46">
        <v>1981</v>
      </c>
      <c r="D32" s="46">
        <v>875.2</v>
      </c>
      <c r="E32" s="46">
        <v>875.2</v>
      </c>
      <c r="F32" s="47">
        <f>F4/E56*E32</f>
        <v>71704.58347464487</v>
      </c>
      <c r="G32" s="47">
        <f>(G4/H4*E32)</f>
        <v>66535.11156118252</v>
      </c>
      <c r="H32" s="47">
        <v>7683.66</v>
      </c>
      <c r="I32" s="47">
        <f>3429.57</f>
        <v>3429.57</v>
      </c>
      <c r="J32" s="48">
        <v>0</v>
      </c>
      <c r="K32" s="38">
        <v>2524.8</v>
      </c>
      <c r="L32" s="39">
        <v>0</v>
      </c>
      <c r="M32" s="49">
        <f>M4/E56*E32</f>
        <v>52445.21043492256</v>
      </c>
      <c r="N32" s="50">
        <f t="shared" si="0"/>
        <v>44578.428869684176</v>
      </c>
      <c r="O32" s="50">
        <f t="shared" si="2"/>
        <v>204322.93547074997</v>
      </c>
      <c r="P32" s="51">
        <v>219125.89</v>
      </c>
      <c r="Q32" s="51">
        <v>201865.72</v>
      </c>
      <c r="R32" s="52">
        <f t="shared" si="1"/>
        <v>-2457.215470749972</v>
      </c>
      <c r="S32" s="53" t="s">
        <v>91</v>
      </c>
    </row>
    <row r="33" spans="1:19" s="1" customFormat="1" ht="78" customHeight="1" thickBot="1">
      <c r="A33" s="45">
        <v>21</v>
      </c>
      <c r="B33" s="33" t="s">
        <v>17</v>
      </c>
      <c r="C33" s="46">
        <v>1981</v>
      </c>
      <c r="D33" s="46">
        <v>875.4</v>
      </c>
      <c r="E33" s="46">
        <v>875.4</v>
      </c>
      <c r="F33" s="47">
        <f>F4/E56*E33</f>
        <v>71720.96934838222</v>
      </c>
      <c r="G33" s="47">
        <f>(G4/H4*E33)</f>
        <v>66550.31611135646</v>
      </c>
      <c r="H33" s="47">
        <v>5520.98</v>
      </c>
      <c r="I33" s="47">
        <f>1535.22+3430.33</f>
        <v>4965.55</v>
      </c>
      <c r="J33" s="48">
        <v>0</v>
      </c>
      <c r="K33" s="38">
        <v>2524.8</v>
      </c>
      <c r="L33" s="39">
        <v>0</v>
      </c>
      <c r="M33" s="49">
        <f>M4/E56*E33</f>
        <v>52457.19517222487</v>
      </c>
      <c r="N33" s="50">
        <f t="shared" si="0"/>
        <v>44588.61589639114</v>
      </c>
      <c r="O33" s="50">
        <f t="shared" si="2"/>
        <v>203739.81063196354</v>
      </c>
      <c r="P33" s="51">
        <v>220974.24</v>
      </c>
      <c r="Q33" s="51">
        <v>223369.94</v>
      </c>
      <c r="R33" s="52">
        <f t="shared" si="1"/>
        <v>19630.12936803646</v>
      </c>
      <c r="S33" s="53" t="s">
        <v>90</v>
      </c>
    </row>
    <row r="34" spans="1:19" s="1" customFormat="1" ht="78" customHeight="1" thickBot="1">
      <c r="A34" s="45">
        <v>22</v>
      </c>
      <c r="B34" s="33" t="s">
        <v>18</v>
      </c>
      <c r="C34" s="46">
        <v>1986</v>
      </c>
      <c r="D34" s="46">
        <v>3099.3</v>
      </c>
      <c r="E34" s="46">
        <v>3099.3</v>
      </c>
      <c r="F34" s="47">
        <f>F4/E56*E34</f>
        <v>253923.69237084876</v>
      </c>
      <c r="G34" s="47">
        <f>(G4/H4*E34)</f>
        <v>235617.31177053586</v>
      </c>
      <c r="H34" s="47">
        <v>19474.01</v>
      </c>
      <c r="I34" s="47">
        <f>6233.09+12040.13</f>
        <v>18273.22</v>
      </c>
      <c r="J34" s="48">
        <v>0</v>
      </c>
      <c r="K34" s="38">
        <v>11172.279999999999</v>
      </c>
      <c r="L34" s="39">
        <v>0</v>
      </c>
      <c r="M34" s="49">
        <f>M4/E56*E34</f>
        <v>185721.48160529652</v>
      </c>
      <c r="N34" s="50">
        <f t="shared" si="0"/>
        <v>157863.25936450204</v>
      </c>
      <c r="O34" s="50">
        <f t="shared" si="2"/>
        <v>724181.9957466811</v>
      </c>
      <c r="P34" s="51">
        <v>784596.68</v>
      </c>
      <c r="Q34" s="51">
        <v>735412.56</v>
      </c>
      <c r="R34" s="52">
        <f t="shared" si="1"/>
        <v>11230.564253318938</v>
      </c>
      <c r="S34" s="53" t="s">
        <v>100</v>
      </c>
    </row>
    <row r="35" spans="1:19" s="57" customFormat="1" ht="78" customHeight="1" thickBot="1">
      <c r="A35" s="45">
        <v>23</v>
      </c>
      <c r="B35" s="33" t="s">
        <v>19</v>
      </c>
      <c r="C35" s="46">
        <v>1981</v>
      </c>
      <c r="D35" s="46">
        <v>878.4</v>
      </c>
      <c r="E35" s="46">
        <v>878.4</v>
      </c>
      <c r="F35" s="47">
        <f>F4/E56*E35</f>
        <v>71966.75745444247</v>
      </c>
      <c r="G35" s="47">
        <f>(G4/H4*E35)</f>
        <v>66778.38436396563</v>
      </c>
      <c r="H35" s="47">
        <v>3212.4399999999996</v>
      </c>
      <c r="I35" s="47">
        <f>1643.21+3711.73</f>
        <v>5354.9400000000005</v>
      </c>
      <c r="J35" s="48">
        <v>0</v>
      </c>
      <c r="K35" s="38">
        <v>2524.8</v>
      </c>
      <c r="L35" s="39">
        <v>0</v>
      </c>
      <c r="M35" s="49">
        <f>M4/E56*E35</f>
        <v>52636.96623175957</v>
      </c>
      <c r="N35" s="50">
        <f t="shared" si="0"/>
        <v>44741.421296995635</v>
      </c>
      <c r="O35" s="50">
        <f t="shared" si="2"/>
        <v>202474.28805016767</v>
      </c>
      <c r="P35" s="51">
        <v>220093.68</v>
      </c>
      <c r="Q35" s="51">
        <v>211765.36</v>
      </c>
      <c r="R35" s="52">
        <f t="shared" si="1"/>
        <v>9291.071949832316</v>
      </c>
      <c r="S35" s="53" t="s">
        <v>92</v>
      </c>
    </row>
    <row r="36" spans="1:19" s="57" customFormat="1" ht="78" customHeight="1" thickBot="1">
      <c r="A36" s="45">
        <v>24</v>
      </c>
      <c r="B36" s="33" t="s">
        <v>23</v>
      </c>
      <c r="C36" s="46">
        <v>1981</v>
      </c>
      <c r="D36" s="46">
        <v>858.9</v>
      </c>
      <c r="E36" s="46">
        <v>858.9</v>
      </c>
      <c r="F36" s="47">
        <f>F4/E56*E36</f>
        <v>70369.13476505081</v>
      </c>
      <c r="G36" s="47">
        <f>(G4/H4*E36)</f>
        <v>65295.94072200601</v>
      </c>
      <c r="H36" s="47">
        <v>4621.85</v>
      </c>
      <c r="I36" s="47">
        <f>1517.69+7283.51</f>
        <v>8801.2</v>
      </c>
      <c r="J36" s="48">
        <v>549937</v>
      </c>
      <c r="K36" s="38">
        <v>2524.8</v>
      </c>
      <c r="L36" s="39">
        <v>0</v>
      </c>
      <c r="M36" s="49">
        <f>M4/E56*E36</f>
        <v>51468.45434478403</v>
      </c>
      <c r="N36" s="50">
        <f t="shared" si="0"/>
        <v>43748.18619306642</v>
      </c>
      <c r="O36" s="50">
        <f t="shared" si="2"/>
        <v>753018.3798318409</v>
      </c>
      <c r="P36" s="51">
        <v>215936.43</v>
      </c>
      <c r="Q36" s="51">
        <v>217837.89</v>
      </c>
      <c r="R36" s="52">
        <f t="shared" si="1"/>
        <v>-535180.4898318409</v>
      </c>
      <c r="S36" s="53" t="s">
        <v>101</v>
      </c>
    </row>
    <row r="37" spans="1:19" s="1" customFormat="1" ht="78" customHeight="1" thickBot="1">
      <c r="A37" s="45">
        <v>25</v>
      </c>
      <c r="B37" s="33" t="s">
        <v>20</v>
      </c>
      <c r="C37" s="46">
        <v>1983</v>
      </c>
      <c r="D37" s="46">
        <v>3016.4</v>
      </c>
      <c r="E37" s="46">
        <v>3016.4</v>
      </c>
      <c r="F37" s="47">
        <f>F4/E56*E37</f>
        <v>247131.74770671705</v>
      </c>
      <c r="G37" s="47">
        <f>(G4/H4*E37)</f>
        <v>229315.0257234357</v>
      </c>
      <c r="H37" s="47">
        <v>13894.770000000002</v>
      </c>
      <c r="I37" s="47">
        <f>4881.82+12483.06</f>
        <v>17364.879999999997</v>
      </c>
      <c r="J37" s="48">
        <v>0</v>
      </c>
      <c r="K37" s="38">
        <v>8721.64</v>
      </c>
      <c r="L37" s="39">
        <v>0</v>
      </c>
      <c r="M37" s="49">
        <f>M4/E56*E37</f>
        <v>180753.8079934877</v>
      </c>
      <c r="N37" s="50">
        <f t="shared" si="0"/>
        <v>153640.73679446452</v>
      </c>
      <c r="O37" s="50">
        <f t="shared" si="2"/>
        <v>697181.8714236405</v>
      </c>
      <c r="P37" s="51">
        <v>758802.9</v>
      </c>
      <c r="Q37" s="51">
        <v>747462.92</v>
      </c>
      <c r="R37" s="52">
        <f t="shared" si="1"/>
        <v>50281.04857635952</v>
      </c>
      <c r="S37" s="54" t="s">
        <v>111</v>
      </c>
    </row>
    <row r="38" spans="1:19" s="1" customFormat="1" ht="78" customHeight="1" thickBot="1">
      <c r="A38" s="45">
        <v>26</v>
      </c>
      <c r="B38" s="33" t="s">
        <v>21</v>
      </c>
      <c r="C38" s="46">
        <v>1982</v>
      </c>
      <c r="D38" s="46">
        <v>878.3</v>
      </c>
      <c r="E38" s="46">
        <v>878.3</v>
      </c>
      <c r="F38" s="47">
        <f>F4/E56*E38</f>
        <v>71958.56451757379</v>
      </c>
      <c r="G38" s="47">
        <f>(G4/H4*E38)</f>
        <v>66770.78208887865</v>
      </c>
      <c r="H38" s="47">
        <v>5248.799999999999</v>
      </c>
      <c r="I38" s="47">
        <f>3338.34</f>
        <v>3338.34</v>
      </c>
      <c r="J38" s="48">
        <v>0</v>
      </c>
      <c r="K38" s="38">
        <v>2541.78</v>
      </c>
      <c r="L38" s="39">
        <v>0</v>
      </c>
      <c r="M38" s="49">
        <f>M4/E56*E38</f>
        <v>52630.97386310841</v>
      </c>
      <c r="N38" s="50">
        <f t="shared" si="0"/>
        <v>44736.32778364215</v>
      </c>
      <c r="O38" s="50">
        <f t="shared" si="2"/>
        <v>202489.2404695608</v>
      </c>
      <c r="P38" s="51">
        <v>219735.54</v>
      </c>
      <c r="Q38" s="51">
        <v>212115.68</v>
      </c>
      <c r="R38" s="52">
        <f t="shared" si="1"/>
        <v>9626.43953043918</v>
      </c>
      <c r="S38" s="53" t="s">
        <v>93</v>
      </c>
    </row>
    <row r="39" spans="1:19" s="1" customFormat="1" ht="78" customHeight="1" thickBot="1">
      <c r="A39" s="45">
        <v>27</v>
      </c>
      <c r="B39" s="33" t="s">
        <v>22</v>
      </c>
      <c r="C39" s="46">
        <v>1992</v>
      </c>
      <c r="D39" s="46">
        <v>2553.3</v>
      </c>
      <c r="E39" s="46">
        <v>2553.3</v>
      </c>
      <c r="F39" s="47">
        <f>F4/E56*E39</f>
        <v>209190.25706788248</v>
      </c>
      <c r="G39" s="47">
        <f>(G4/H4*E39)</f>
        <v>194108.8897956665</v>
      </c>
      <c r="H39" s="47">
        <v>20353.690000000002</v>
      </c>
      <c r="I39" s="47">
        <f>17796.86+11163.03</f>
        <v>28959.89</v>
      </c>
      <c r="J39" s="48">
        <v>2380</v>
      </c>
      <c r="K39" s="38">
        <v>11830.800000000001</v>
      </c>
      <c r="L39" s="39">
        <v>0</v>
      </c>
      <c r="M39" s="49">
        <f>M4/E56*E39</f>
        <v>153003.14876998146</v>
      </c>
      <c r="N39" s="50">
        <f t="shared" si="0"/>
        <v>130052.67645448424</v>
      </c>
      <c r="O39" s="50">
        <f t="shared" si="2"/>
        <v>619826.6756335305</v>
      </c>
      <c r="P39" s="51">
        <v>646698.19</v>
      </c>
      <c r="Q39" s="51">
        <v>577345.27</v>
      </c>
      <c r="R39" s="52">
        <f t="shared" si="1"/>
        <v>-42481.40563353046</v>
      </c>
      <c r="S39" s="54" t="s">
        <v>53</v>
      </c>
    </row>
    <row r="40" spans="1:19" s="1" customFormat="1" ht="78" customHeight="1" thickBot="1">
      <c r="A40" s="45">
        <v>28</v>
      </c>
      <c r="B40" s="33" t="s">
        <v>24</v>
      </c>
      <c r="C40" s="46">
        <v>1987</v>
      </c>
      <c r="D40" s="46">
        <v>849.5</v>
      </c>
      <c r="E40" s="46">
        <v>849.5</v>
      </c>
      <c r="F40" s="47">
        <f>F4/E56*E40</f>
        <v>69598.99869939535</v>
      </c>
      <c r="G40" s="47">
        <f>(G4/H4*E40)</f>
        <v>64581.3268638306</v>
      </c>
      <c r="H40" s="47">
        <v>10565.619999999997</v>
      </c>
      <c r="I40" s="47">
        <f>843.2+3228.87</f>
        <v>4072.0699999999997</v>
      </c>
      <c r="J40" s="48">
        <v>0</v>
      </c>
      <c r="K40" s="38">
        <v>2524.8</v>
      </c>
      <c r="L40" s="39">
        <v>0</v>
      </c>
      <c r="M40" s="49">
        <f>M4/E56*E40</f>
        <v>50905.17169157531</v>
      </c>
      <c r="N40" s="50">
        <f t="shared" si="0"/>
        <v>43269.395937839014</v>
      </c>
      <c r="O40" s="50">
        <f t="shared" si="2"/>
        <v>202247.98725480126</v>
      </c>
      <c r="P40" s="51">
        <v>211497.87</v>
      </c>
      <c r="Q40" s="51">
        <v>205983.53</v>
      </c>
      <c r="R40" s="52">
        <f t="shared" si="1"/>
        <v>3735.5427451987343</v>
      </c>
      <c r="S40" s="53" t="s">
        <v>94</v>
      </c>
    </row>
    <row r="41" spans="1:19" s="1" customFormat="1" ht="78" customHeight="1" thickBot="1">
      <c r="A41" s="45">
        <v>29</v>
      </c>
      <c r="B41" s="33" t="s">
        <v>25</v>
      </c>
      <c r="C41" s="46">
        <v>1989</v>
      </c>
      <c r="D41" s="46">
        <v>856.7</v>
      </c>
      <c r="E41" s="46">
        <v>856.7</v>
      </c>
      <c r="F41" s="47">
        <f>F4/E56*E41</f>
        <v>70188.89015393997</v>
      </c>
      <c r="G41" s="47">
        <f>(G4/H4*E41)</f>
        <v>65128.69067009262</v>
      </c>
      <c r="H41" s="47">
        <v>4631.58</v>
      </c>
      <c r="I41" s="47">
        <f>80.02+3256.24</f>
        <v>3336.2599999999998</v>
      </c>
      <c r="J41" s="48">
        <v>0</v>
      </c>
      <c r="K41" s="38">
        <v>2541.78</v>
      </c>
      <c r="L41" s="39">
        <v>0</v>
      </c>
      <c r="M41" s="49">
        <f>M4/E56*E41</f>
        <v>51336.62223445859</v>
      </c>
      <c r="N41" s="50">
        <f t="shared" si="0"/>
        <v>43636.128899289804</v>
      </c>
      <c r="O41" s="50">
        <f t="shared" si="2"/>
        <v>197163.8230584912</v>
      </c>
      <c r="P41" s="51">
        <v>214045.44</v>
      </c>
      <c r="Q41" s="51">
        <v>206998.22</v>
      </c>
      <c r="R41" s="52">
        <f t="shared" si="1"/>
        <v>9834.396941508807</v>
      </c>
      <c r="S41" s="53" t="s">
        <v>95</v>
      </c>
    </row>
    <row r="42" spans="1:19" s="1" customFormat="1" ht="78" customHeight="1" thickBot="1">
      <c r="A42" s="45">
        <v>30</v>
      </c>
      <c r="B42" s="33" t="s">
        <v>42</v>
      </c>
      <c r="C42" s="46">
        <v>1990</v>
      </c>
      <c r="D42" s="46">
        <v>2196.6</v>
      </c>
      <c r="E42" s="46">
        <v>1196.6</v>
      </c>
      <c r="F42" s="47">
        <f>F4/E56*E42</f>
        <v>98036.68257056677</v>
      </c>
      <c r="G42" s="47">
        <f>(G4/H4*E42)</f>
        <v>90968.82369071183</v>
      </c>
      <c r="H42" s="47">
        <v>36097.8</v>
      </c>
      <c r="I42" s="47">
        <f>5530.5+4548.17</f>
        <v>10078.67</v>
      </c>
      <c r="J42" s="48">
        <v>3180</v>
      </c>
      <c r="K42" s="38">
        <v>0</v>
      </c>
      <c r="L42" s="39">
        <v>0</v>
      </c>
      <c r="M42" s="49">
        <f>M4/E56*E42</f>
        <v>71704.68327973987</v>
      </c>
      <c r="N42" s="50">
        <f t="shared" si="0"/>
        <v>60948.980787778884</v>
      </c>
      <c r="O42" s="50">
        <f t="shared" si="2"/>
        <v>310066.6595410184</v>
      </c>
      <c r="P42" s="51">
        <v>320138.76</v>
      </c>
      <c r="Q42" s="51">
        <v>283689.39</v>
      </c>
      <c r="R42" s="52">
        <f t="shared" si="1"/>
        <v>-26377.26954101841</v>
      </c>
      <c r="S42" s="53" t="s">
        <v>80</v>
      </c>
    </row>
    <row r="43" spans="1:19" s="1" customFormat="1" ht="78" customHeight="1" thickBot="1">
      <c r="A43" s="45">
        <v>31</v>
      </c>
      <c r="B43" s="33" t="s">
        <v>43</v>
      </c>
      <c r="C43" s="46">
        <v>1990</v>
      </c>
      <c r="D43" s="56">
        <v>619</v>
      </c>
      <c r="E43" s="56">
        <v>619</v>
      </c>
      <c r="F43" s="47">
        <f>F4/E56*E43</f>
        <v>50714.279217099145</v>
      </c>
      <c r="G43" s="47">
        <f>(G4/H4*E43)</f>
        <v>47058.08278835921</v>
      </c>
      <c r="H43" s="47">
        <v>54.39999999999999</v>
      </c>
      <c r="I43" s="47">
        <f>2352.76</f>
        <v>2352.76</v>
      </c>
      <c r="J43" s="48">
        <v>0</v>
      </c>
      <c r="K43" s="38">
        <v>0</v>
      </c>
      <c r="L43" s="39">
        <v>0</v>
      </c>
      <c r="M43" s="49">
        <f>M4/E56*E43</f>
        <v>37092.761950659355</v>
      </c>
      <c r="N43" s="50">
        <f t="shared" si="0"/>
        <v>31528.84765806045</v>
      </c>
      <c r="O43" s="50">
        <f t="shared" si="2"/>
        <v>137272.2839561177</v>
      </c>
      <c r="P43" s="51">
        <v>155810.46</v>
      </c>
      <c r="Q43" s="51">
        <v>135144.45</v>
      </c>
      <c r="R43" s="52">
        <f t="shared" si="1"/>
        <v>-2127.8339561176836</v>
      </c>
      <c r="S43" s="53" t="s">
        <v>96</v>
      </c>
    </row>
    <row r="44" spans="1:19" s="1" customFormat="1" ht="51" customHeight="1" thickBot="1">
      <c r="A44" s="45">
        <v>32</v>
      </c>
      <c r="B44" s="33" t="s">
        <v>38</v>
      </c>
      <c r="C44" s="46">
        <v>1988</v>
      </c>
      <c r="D44" s="46">
        <v>373.2</v>
      </c>
      <c r="E44" s="46">
        <v>373.2</v>
      </c>
      <c r="F44" s="47">
        <f>F4/E56*E44</f>
        <v>30576.040393895637</v>
      </c>
      <c r="G44" s="47">
        <f>(G4/H4*E44)</f>
        <v>28371.690624581024</v>
      </c>
      <c r="H44" s="47">
        <v>2206.46</v>
      </c>
      <c r="I44" s="47">
        <f>1418.5</f>
        <v>1418.5</v>
      </c>
      <c r="J44" s="48">
        <v>0</v>
      </c>
      <c r="K44" s="38">
        <v>1390.04</v>
      </c>
      <c r="L44" s="39">
        <v>0</v>
      </c>
      <c r="M44" s="49">
        <f>M4/E56*E44</f>
        <v>22363.51980611643</v>
      </c>
      <c r="N44" s="50">
        <f t="shared" si="0"/>
        <v>19008.991835198965</v>
      </c>
      <c r="O44" s="50">
        <f t="shared" si="2"/>
        <v>86326.2508245931</v>
      </c>
      <c r="P44" s="51">
        <v>84223.93</v>
      </c>
      <c r="Q44" s="51">
        <v>83147.37</v>
      </c>
      <c r="R44" s="52">
        <f t="shared" si="1"/>
        <v>-3178.8808245930995</v>
      </c>
      <c r="S44" s="54" t="s">
        <v>76</v>
      </c>
    </row>
    <row r="45" spans="1:19" s="1" customFormat="1" ht="39" customHeight="1" thickBot="1">
      <c r="A45" s="45">
        <v>33</v>
      </c>
      <c r="B45" s="33" t="s">
        <v>26</v>
      </c>
      <c r="C45" s="46">
        <v>1964</v>
      </c>
      <c r="D45" s="46">
        <v>376.6</v>
      </c>
      <c r="E45" s="46">
        <v>376.6</v>
      </c>
      <c r="F45" s="47">
        <f>F4/E56*E45</f>
        <v>30854.600247430597</v>
      </c>
      <c r="G45" s="47">
        <v>0</v>
      </c>
      <c r="H45" s="47">
        <v>7571.86</v>
      </c>
      <c r="I45" s="47">
        <f>1431.42</f>
        <v>1431.42</v>
      </c>
      <c r="J45" s="48">
        <v>0</v>
      </c>
      <c r="K45" s="38">
        <v>1390.04</v>
      </c>
      <c r="L45" s="39">
        <v>0</v>
      </c>
      <c r="M45" s="49">
        <f>M4/E56*E45</f>
        <v>22567.260340255754</v>
      </c>
      <c r="N45" s="50">
        <f t="shared" si="0"/>
        <v>19182.17128921739</v>
      </c>
      <c r="O45" s="50">
        <f t="shared" si="2"/>
        <v>63815.18058768635</v>
      </c>
      <c r="P45" s="51">
        <v>59645.42</v>
      </c>
      <c r="Q45" s="51">
        <v>62044.59</v>
      </c>
      <c r="R45" s="52">
        <f t="shared" si="1"/>
        <v>-1770.5905876863544</v>
      </c>
      <c r="S45" s="54"/>
    </row>
    <row r="46" spans="1:19" s="1" customFormat="1" ht="45" customHeight="1" thickBot="1">
      <c r="A46" s="45">
        <v>34</v>
      </c>
      <c r="B46" s="33" t="s">
        <v>27</v>
      </c>
      <c r="C46" s="46">
        <v>1954</v>
      </c>
      <c r="D46" s="46">
        <v>400.3</v>
      </c>
      <c r="E46" s="46">
        <v>400.3</v>
      </c>
      <c r="F46" s="47">
        <f>F4/E56*E46</f>
        <v>32796.326285306604</v>
      </c>
      <c r="G46" s="47">
        <v>0</v>
      </c>
      <c r="H46" s="47">
        <v>10128.21</v>
      </c>
      <c r="I46" s="47">
        <v>1521.5</v>
      </c>
      <c r="J46" s="48">
        <v>0</v>
      </c>
      <c r="K46" s="38">
        <v>3118.52</v>
      </c>
      <c r="L46" s="39">
        <v>0</v>
      </c>
      <c r="M46" s="49">
        <f>M4/E56*E46</f>
        <v>23987.45171057987</v>
      </c>
      <c r="N46" s="50">
        <f t="shared" si="0"/>
        <v>20389.33395399289</v>
      </c>
      <c r="O46" s="50">
        <f t="shared" si="2"/>
        <v>71552.00799588647</v>
      </c>
      <c r="P46" s="51">
        <v>64153.01</v>
      </c>
      <c r="Q46" s="51">
        <v>64567.17</v>
      </c>
      <c r="R46" s="52">
        <f t="shared" si="1"/>
        <v>-6984.837995886468</v>
      </c>
      <c r="S46" s="54"/>
    </row>
    <row r="47" spans="1:19" s="1" customFormat="1" ht="78" customHeight="1" thickBot="1">
      <c r="A47" s="45">
        <v>35</v>
      </c>
      <c r="B47" s="33" t="s">
        <v>29</v>
      </c>
      <c r="C47" s="46">
        <v>1970</v>
      </c>
      <c r="D47" s="46">
        <v>708.6</v>
      </c>
      <c r="E47" s="46">
        <v>708.6</v>
      </c>
      <c r="F47" s="47">
        <f>F4/E56*E47</f>
        <v>58055.15065143208</v>
      </c>
      <c r="G47" s="47">
        <v>0</v>
      </c>
      <c r="H47" s="47">
        <v>7265.72</v>
      </c>
      <c r="I47" s="47">
        <f>4238.69+4007.32</f>
        <v>8246.01</v>
      </c>
      <c r="J47" s="48">
        <v>0</v>
      </c>
      <c r="K47" s="38">
        <v>2836.68</v>
      </c>
      <c r="L47" s="39">
        <v>0</v>
      </c>
      <c r="M47" s="49">
        <f>M4/E56*E47</f>
        <v>42461.924262095665</v>
      </c>
      <c r="N47" s="50">
        <f t="shared" si="0"/>
        <v>36092.635622781316</v>
      </c>
      <c r="O47" s="50">
        <f t="shared" si="2"/>
        <v>118865.48491352773</v>
      </c>
      <c r="P47" s="51">
        <v>133982.27</v>
      </c>
      <c r="Q47" s="51">
        <v>135498.38</v>
      </c>
      <c r="R47" s="52">
        <f t="shared" si="1"/>
        <v>16632.895086472272</v>
      </c>
      <c r="S47" s="54" t="s">
        <v>69</v>
      </c>
    </row>
    <row r="48" spans="1:19" s="1" customFormat="1" ht="78" customHeight="1" thickBot="1">
      <c r="A48" s="45">
        <v>36</v>
      </c>
      <c r="B48" s="33" t="s">
        <v>30</v>
      </c>
      <c r="C48" s="46">
        <v>1983</v>
      </c>
      <c r="D48" s="46">
        <v>383.1</v>
      </c>
      <c r="E48" s="46">
        <v>383.1</v>
      </c>
      <c r="F48" s="47">
        <f>F4/E56*E48</f>
        <v>31387.14114389448</v>
      </c>
      <c r="G48" s="47">
        <f>(G4/H4*E48)</f>
        <v>29124.315858191298</v>
      </c>
      <c r="H48" s="47">
        <v>787.3299999999999</v>
      </c>
      <c r="I48" s="47">
        <v>1564.04</v>
      </c>
      <c r="J48" s="48">
        <v>0</v>
      </c>
      <c r="K48" s="38">
        <v>1174.96</v>
      </c>
      <c r="L48" s="39">
        <v>0</v>
      </c>
      <c r="M48" s="49">
        <f>M4/E56*E48</f>
        <v>22956.764302580934</v>
      </c>
      <c r="N48" s="50">
        <f t="shared" si="0"/>
        <v>19513.24965719379</v>
      </c>
      <c r="O48" s="50">
        <f t="shared" si="2"/>
        <v>86994.55130466672</v>
      </c>
      <c r="P48" s="51">
        <v>94978.41</v>
      </c>
      <c r="Q48" s="51">
        <v>97056.27</v>
      </c>
      <c r="R48" s="52">
        <f t="shared" si="1"/>
        <v>10061.718695333286</v>
      </c>
      <c r="S48" s="54" t="s">
        <v>70</v>
      </c>
    </row>
    <row r="49" spans="1:19" s="1" customFormat="1" ht="78" customHeight="1" thickBot="1">
      <c r="A49" s="45">
        <v>37</v>
      </c>
      <c r="B49" s="33" t="s">
        <v>31</v>
      </c>
      <c r="C49" s="46">
        <v>1987</v>
      </c>
      <c r="D49" s="46">
        <v>4309.4</v>
      </c>
      <c r="E49" s="46">
        <v>4309.4</v>
      </c>
      <c r="F49" s="47">
        <f>F4/E56*E49</f>
        <v>353066.42141868663</v>
      </c>
      <c r="G49" s="47">
        <f>(G4/H4*E49)</f>
        <v>327612.44259798893</v>
      </c>
      <c r="H49" s="47">
        <v>29704.319999999996</v>
      </c>
      <c r="I49" s="47">
        <f>23018.47+16379.64</f>
        <v>39398.11</v>
      </c>
      <c r="J49" s="48">
        <v>42000</v>
      </c>
      <c r="K49" s="38">
        <v>11183.6</v>
      </c>
      <c r="L49" s="39">
        <v>0</v>
      </c>
      <c r="M49" s="49">
        <f>M4/E56*E49</f>
        <v>258235.13465294248</v>
      </c>
      <c r="N49" s="50">
        <f t="shared" si="0"/>
        <v>219499.8644550011</v>
      </c>
      <c r="O49" s="50">
        <f t="shared" si="2"/>
        <v>1061200.028669618</v>
      </c>
      <c r="P49" s="51">
        <v>1083161.74</v>
      </c>
      <c r="Q49" s="51">
        <v>1046909.88</v>
      </c>
      <c r="R49" s="52">
        <f t="shared" si="1"/>
        <v>-14290.148669618065</v>
      </c>
      <c r="S49" s="53" t="s">
        <v>81</v>
      </c>
    </row>
    <row r="50" spans="1:19" s="1" customFormat="1" ht="62.25" customHeight="1" thickBot="1">
      <c r="A50" s="45">
        <v>38</v>
      </c>
      <c r="B50" s="33" t="s">
        <v>32</v>
      </c>
      <c r="C50" s="46">
        <v>1986</v>
      </c>
      <c r="D50" s="46">
        <v>841.6</v>
      </c>
      <c r="E50" s="46">
        <v>841.6</v>
      </c>
      <c r="F50" s="47">
        <f>F4/E56*E50</f>
        <v>68951.75668677002</v>
      </c>
      <c r="G50" s="47">
        <f>(G4/H4*E50)</f>
        <v>63980.74713195978</v>
      </c>
      <c r="H50" s="47">
        <v>3037.48</v>
      </c>
      <c r="I50" s="47">
        <f>2259.5+3395.04</f>
        <v>5654.54</v>
      </c>
      <c r="J50" s="48">
        <v>0</v>
      </c>
      <c r="K50" s="38">
        <v>2524.8</v>
      </c>
      <c r="L50" s="39">
        <v>0</v>
      </c>
      <c r="M50" s="49">
        <f>M4/E56*E50</f>
        <v>50431.774568133944</v>
      </c>
      <c r="N50" s="50">
        <f t="shared" si="0"/>
        <v>42867.00838291385</v>
      </c>
      <c r="O50" s="50">
        <f t="shared" si="2"/>
        <v>194581.09838686377</v>
      </c>
      <c r="P50" s="51">
        <v>208742.25</v>
      </c>
      <c r="Q50" s="51">
        <v>209136.05</v>
      </c>
      <c r="R50" s="52">
        <f t="shared" si="1"/>
        <v>14554.951613136218</v>
      </c>
      <c r="S50" s="53" t="s">
        <v>82</v>
      </c>
    </row>
    <row r="51" spans="1:20" s="1" customFormat="1" ht="78" customHeight="1" thickBot="1">
      <c r="A51" s="45">
        <v>39</v>
      </c>
      <c r="B51" s="33" t="s">
        <v>33</v>
      </c>
      <c r="C51" s="46">
        <v>1987</v>
      </c>
      <c r="D51" s="46">
        <v>872.5</v>
      </c>
      <c r="E51" s="46">
        <v>871.2</v>
      </c>
      <c r="F51" s="47">
        <f>F4/E56*E51</f>
        <v>71376.86599989787</v>
      </c>
      <c r="G51" s="47">
        <f>(G4/H4*E51)</f>
        <v>66231.02055770362</v>
      </c>
      <c r="H51" s="47">
        <v>2988.89</v>
      </c>
      <c r="I51" s="47">
        <f>1728.57+3316.29</f>
        <v>5044.86</v>
      </c>
      <c r="J51" s="48">
        <v>0</v>
      </c>
      <c r="K51" s="38">
        <v>2524.8</v>
      </c>
      <c r="L51" s="39">
        <v>0</v>
      </c>
      <c r="M51" s="49">
        <f>M4/E56*E51</f>
        <v>52205.5156888763</v>
      </c>
      <c r="N51" s="50">
        <f t="shared" si="0"/>
        <v>44374.68833554485</v>
      </c>
      <c r="O51" s="50">
        <f t="shared" si="2"/>
        <v>200371.9522464778</v>
      </c>
      <c r="P51" s="51">
        <v>216647.61</v>
      </c>
      <c r="Q51" s="51">
        <v>207250.99</v>
      </c>
      <c r="R51" s="52">
        <f t="shared" si="1"/>
        <v>6879.037753522192</v>
      </c>
      <c r="S51" s="53" t="s">
        <v>87</v>
      </c>
      <c r="T51" s="1" t="s">
        <v>84</v>
      </c>
    </row>
    <row r="52" spans="1:19" s="1" customFormat="1" ht="78" customHeight="1" thickBot="1">
      <c r="A52" s="45">
        <v>40</v>
      </c>
      <c r="B52" s="33" t="s">
        <v>34</v>
      </c>
      <c r="C52" s="46">
        <v>1983</v>
      </c>
      <c r="D52" s="46">
        <v>826.2</v>
      </c>
      <c r="E52" s="46">
        <v>826.2</v>
      </c>
      <c r="F52" s="47">
        <f>F4/E56*E52</f>
        <v>67690.04440899404</v>
      </c>
      <c r="G52" s="47">
        <f>(G4/H4*E52)</f>
        <v>62809.99676856604</v>
      </c>
      <c r="H52" s="47">
        <v>2133.47</v>
      </c>
      <c r="I52" s="47">
        <v>3140.31</v>
      </c>
      <c r="J52" s="48">
        <v>0</v>
      </c>
      <c r="K52" s="38">
        <v>2524.8</v>
      </c>
      <c r="L52" s="39">
        <v>0</v>
      </c>
      <c r="M52" s="49">
        <f>M4/E56*E52</f>
        <v>49508.94979585583</v>
      </c>
      <c r="N52" s="50">
        <f t="shared" si="0"/>
        <v>42082.60732647745</v>
      </c>
      <c r="O52" s="50">
        <f t="shared" si="2"/>
        <v>187807.5709734159</v>
      </c>
      <c r="P52" s="51">
        <v>206651.04</v>
      </c>
      <c r="Q52" s="51">
        <v>202244.59</v>
      </c>
      <c r="R52" s="52">
        <f t="shared" si="1"/>
        <v>14437.019026584108</v>
      </c>
      <c r="S52" s="53" t="s">
        <v>99</v>
      </c>
    </row>
    <row r="53" spans="1:19" s="1" customFormat="1" ht="78" customHeight="1" thickBot="1">
      <c r="A53" s="45">
        <v>41</v>
      </c>
      <c r="B53" s="33" t="s">
        <v>35</v>
      </c>
      <c r="C53" s="46">
        <v>1987</v>
      </c>
      <c r="D53" s="46">
        <v>4280.1</v>
      </c>
      <c r="E53" s="46">
        <v>4290.6</v>
      </c>
      <c r="F53" s="47">
        <f>F4/E56*E53</f>
        <v>351526.1492873758</v>
      </c>
      <c r="G53" s="47">
        <f>(G4/H4*E53)</f>
        <v>326183.2148816382</v>
      </c>
      <c r="H53" s="47">
        <v>33256.95</v>
      </c>
      <c r="I53" s="47">
        <f>24598.01+18592.18</f>
        <v>43190.19</v>
      </c>
      <c r="J53" s="48">
        <v>0</v>
      </c>
      <c r="K53" s="38">
        <v>11183.6</v>
      </c>
      <c r="L53" s="39">
        <v>0</v>
      </c>
      <c r="M53" s="49">
        <f>M4/E56*E53</f>
        <v>257108.5693465251</v>
      </c>
      <c r="N53" s="50">
        <f t="shared" si="0"/>
        <v>218542.28394454633</v>
      </c>
      <c r="O53" s="50">
        <f t="shared" si="2"/>
        <v>1022448.6735155389</v>
      </c>
      <c r="P53" s="51">
        <v>1073362.76</v>
      </c>
      <c r="Q53" s="51">
        <v>1045126.46</v>
      </c>
      <c r="R53" s="52">
        <f t="shared" si="1"/>
        <v>22677.786484461045</v>
      </c>
      <c r="S53" s="53" t="s">
        <v>83</v>
      </c>
    </row>
    <row r="54" spans="1:19" s="1" customFormat="1" ht="78" customHeight="1" thickBot="1">
      <c r="A54" s="45">
        <v>42</v>
      </c>
      <c r="B54" s="33" t="s">
        <v>36</v>
      </c>
      <c r="C54" s="58">
        <v>1985</v>
      </c>
      <c r="D54" s="58">
        <v>4197.7</v>
      </c>
      <c r="E54" s="58">
        <v>4234.9</v>
      </c>
      <c r="F54" s="51">
        <f>F4/E56*E54</f>
        <v>346962.68345152366</v>
      </c>
      <c r="G54" s="51">
        <f>(G4/H4*E54)</f>
        <v>321948.74765819445</v>
      </c>
      <c r="H54" s="51">
        <v>40736.53</v>
      </c>
      <c r="I54" s="51">
        <f>128549.04+18581.77</f>
        <v>147130.81</v>
      </c>
      <c r="J54" s="48">
        <v>12115</v>
      </c>
      <c r="K54" s="38">
        <v>11183.6</v>
      </c>
      <c r="L54" s="39">
        <v>0</v>
      </c>
      <c r="M54" s="49">
        <f>M4/E56*E54</f>
        <v>253770.82000783083</v>
      </c>
      <c r="N54" s="51">
        <f t="shared" si="0"/>
        <v>215705.1970066562</v>
      </c>
      <c r="O54" s="51">
        <f t="shared" si="2"/>
        <v>1133848.1911175488</v>
      </c>
      <c r="P54" s="51">
        <v>1060645.28</v>
      </c>
      <c r="Q54" s="51">
        <v>1091530.11</v>
      </c>
      <c r="R54" s="52">
        <f t="shared" si="1"/>
        <v>-42318.08111754875</v>
      </c>
      <c r="S54" s="54" t="s">
        <v>71</v>
      </c>
    </row>
    <row r="55" spans="1:19" s="1" customFormat="1" ht="45.75" customHeight="1" thickBot="1">
      <c r="A55" s="45">
        <v>43</v>
      </c>
      <c r="B55" s="33" t="s">
        <v>37</v>
      </c>
      <c r="C55" s="46">
        <v>1986</v>
      </c>
      <c r="D55" s="46">
        <v>843.8</v>
      </c>
      <c r="E55" s="46">
        <v>843.8</v>
      </c>
      <c r="F55" s="47">
        <f>F4/E56*E55</f>
        <v>69132.00129788087</v>
      </c>
      <c r="G55" s="47">
        <f>(G4/H4*E55)</f>
        <v>64147.99718387317</v>
      </c>
      <c r="H55" s="47">
        <v>10881.540000000003</v>
      </c>
      <c r="I55" s="47">
        <f>3207.21</f>
        <v>3207.21</v>
      </c>
      <c r="J55" s="48">
        <v>0</v>
      </c>
      <c r="K55" s="38">
        <v>2524.8</v>
      </c>
      <c r="L55" s="39">
        <v>0</v>
      </c>
      <c r="M55" s="49">
        <f>M4/E56*E55</f>
        <v>50563.606678459386</v>
      </c>
      <c r="N55" s="50">
        <f t="shared" si="0"/>
        <v>42979.06567669048</v>
      </c>
      <c r="O55" s="50">
        <f t="shared" si="2"/>
        <v>200457.1551602134</v>
      </c>
      <c r="P55" s="51">
        <v>211737.72</v>
      </c>
      <c r="Q55" s="51">
        <v>200665</v>
      </c>
      <c r="R55" s="52">
        <f t="shared" si="1"/>
        <v>207.84483978658682</v>
      </c>
      <c r="S55" s="54" t="s">
        <v>72</v>
      </c>
    </row>
    <row r="56" spans="1:19" ht="43.5" customHeight="1" hidden="1" thickBot="1">
      <c r="A56" s="59"/>
      <c r="B56" s="33" t="s">
        <v>65</v>
      </c>
      <c r="C56" s="60"/>
      <c r="D56" s="61">
        <f>SUM(D13:D55)</f>
        <v>65569.7</v>
      </c>
      <c r="E56" s="52">
        <f aca="true" t="shared" si="3" ref="E56:L56">SUM(E13:E55)</f>
        <v>64616.100000000006</v>
      </c>
      <c r="F56" s="52">
        <f>SUM(F13:F55)</f>
        <v>5293956.28</v>
      </c>
      <c r="G56" s="52">
        <f t="shared" si="3"/>
        <v>4785609.36042387</v>
      </c>
      <c r="H56" s="52">
        <v>522903.18000000005</v>
      </c>
      <c r="I56" s="52">
        <f t="shared" si="3"/>
        <v>705924.94</v>
      </c>
      <c r="J56" s="62">
        <f t="shared" si="3"/>
        <v>789423</v>
      </c>
      <c r="K56" s="62">
        <f t="shared" si="3"/>
        <v>178137.99999999997</v>
      </c>
      <c r="L56" s="62">
        <f t="shared" si="3"/>
        <v>0</v>
      </c>
      <c r="M56" s="52">
        <f aca="true" t="shared" si="4" ref="M56:R56">SUM(M13:M55)</f>
        <v>3872034.919999999</v>
      </c>
      <c r="N56" s="52">
        <f>SUM(N13:N55)</f>
        <v>3291229.6819999986</v>
      </c>
      <c r="O56" s="52">
        <f>SUM(O13:O55)</f>
        <v>16147989.68042387</v>
      </c>
      <c r="P56" s="52">
        <f t="shared" si="4"/>
        <v>16054180.559999995</v>
      </c>
      <c r="Q56" s="52">
        <f t="shared" si="4"/>
        <v>15610482.96</v>
      </c>
      <c r="R56" s="52">
        <f t="shared" si="4"/>
        <v>-537506.7204238689</v>
      </c>
      <c r="S56" s="54"/>
    </row>
    <row r="57" spans="1:19" ht="33.75" customHeight="1">
      <c r="A57" s="75" t="s">
        <v>64</v>
      </c>
      <c r="B57" s="75"/>
      <c r="C57" s="75"/>
      <c r="D57" s="75"/>
      <c r="E57" s="75"/>
      <c r="F57" s="75"/>
      <c r="G57" s="75"/>
      <c r="H57" s="75"/>
      <c r="I57" s="75"/>
      <c r="J57" s="76"/>
      <c r="K57" s="75"/>
      <c r="L57" s="75"/>
      <c r="M57" s="75"/>
      <c r="N57" s="75"/>
      <c r="O57" s="75"/>
      <c r="P57" s="75"/>
      <c r="Q57" s="75"/>
      <c r="R57" s="75"/>
      <c r="S57" s="75"/>
    </row>
    <row r="58" spans="1:15" ht="36.75" customHeight="1">
      <c r="A58" s="1" t="s">
        <v>109</v>
      </c>
      <c r="B58" s="2"/>
      <c r="C58" s="3"/>
      <c r="D58" s="3"/>
      <c r="E58" s="4"/>
      <c r="O58" s="67">
        <f>M56+L56+K56+J56+I56+H56+G56+F56</f>
        <v>16147989.68042387</v>
      </c>
    </row>
    <row r="59" spans="1:5" ht="29.25" customHeight="1">
      <c r="A59" s="1" t="s">
        <v>73</v>
      </c>
      <c r="B59" s="2"/>
      <c r="C59" s="3"/>
      <c r="D59" s="3"/>
      <c r="E59" s="4"/>
    </row>
    <row r="60" spans="1:5" ht="78" customHeight="1">
      <c r="A60" s="1" t="s">
        <v>108</v>
      </c>
      <c r="B60" s="2"/>
      <c r="C60" s="3"/>
      <c r="D60" s="3"/>
      <c r="E60" s="4"/>
    </row>
    <row r="61" spans="1:5" ht="78" customHeight="1">
      <c r="A61" s="5"/>
      <c r="B61" s="2"/>
      <c r="C61" s="3"/>
      <c r="D61" s="3"/>
      <c r="E61" s="4"/>
    </row>
    <row r="62" spans="1:5" ht="78" customHeight="1">
      <c r="A62" s="6"/>
      <c r="B62" s="7"/>
      <c r="C62" s="8"/>
      <c r="D62" s="8"/>
      <c r="E62" s="9"/>
    </row>
    <row r="63" spans="2:5" ht="78" customHeight="1">
      <c r="B63" s="10"/>
      <c r="C63" s="10"/>
      <c r="D63" s="10"/>
      <c r="E63" s="10"/>
    </row>
    <row r="64" spans="2:5" ht="78" customHeight="1">
      <c r="B64" s="10"/>
      <c r="C64" s="10"/>
      <c r="D64" s="10"/>
      <c r="E64" s="10"/>
    </row>
  </sheetData>
  <sheetProtection/>
  <mergeCells count="22">
    <mergeCell ref="S8:S11"/>
    <mergeCell ref="A8:R8"/>
    <mergeCell ref="A9:E9"/>
    <mergeCell ref="D10:D11"/>
    <mergeCell ref="A10:A11"/>
    <mergeCell ref="R10:R11"/>
    <mergeCell ref="G10:G11"/>
    <mergeCell ref="L10:L11"/>
    <mergeCell ref="H10:H11"/>
    <mergeCell ref="F9:R9"/>
    <mergeCell ref="B10:B11"/>
    <mergeCell ref="O10:O11"/>
    <mergeCell ref="I10:I11"/>
    <mergeCell ref="F10:F11"/>
    <mergeCell ref="J10:J11"/>
    <mergeCell ref="M10:N10"/>
    <mergeCell ref="A57:S57"/>
    <mergeCell ref="C10:C11"/>
    <mergeCell ref="E10:E11"/>
    <mergeCell ref="P10:P11"/>
    <mergeCell ref="Q10:Q11"/>
    <mergeCell ref="K10:K11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2024-03-15T12:07:06Z</cp:lastPrinted>
  <dcterms:created xsi:type="dcterms:W3CDTF">2011-01-17T06:18:12Z</dcterms:created>
  <dcterms:modified xsi:type="dcterms:W3CDTF">2024-03-29T06:40:27Z</dcterms:modified>
  <cp:category/>
  <cp:version/>
  <cp:contentType/>
  <cp:contentStatus/>
</cp:coreProperties>
</file>